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Projects\OCR\Phase 2\2017_08_03_Mtg\"/>
    </mc:Choice>
  </mc:AlternateContent>
  <bookViews>
    <workbookView xWindow="0" yWindow="0" windowWidth="28800" windowHeight="11700" tabRatio="886" activeTab="2"/>
  </bookViews>
  <sheets>
    <sheet name="Summary" sheetId="46" r:id="rId1"/>
    <sheet name="50% Exceedance Baseline" sheetId="31" r:id="rId2"/>
    <sheet name="1. Large Columbia Exchange" sheetId="19" r:id="rId3"/>
    <sheet name="2a. Reservoir (26.6k AS)" sheetId="38" r:id="rId4"/>
    <sheet name="2b. Reservoir (28.6k AS)" sheetId="47" r:id="rId5"/>
    <sheet name="2c. Reservoir (30k AS)" sheetId="48" r:id="rId6"/>
    <sheet name="2d. Reservoir (32k AS)" sheetId="52" r:id="rId7"/>
    <sheet name="2e. Reservoir (39.3k AS)" sheetId="49" r:id="rId8"/>
    <sheet name="Operational Rules" sheetId="50" r:id="rId9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6" i="48" l="1"/>
  <c r="K126" i="48"/>
  <c r="L126" i="48"/>
  <c r="M126" i="48"/>
  <c r="N126" i="48"/>
  <c r="O126" i="48"/>
  <c r="P126" i="48"/>
  <c r="Q126" i="48"/>
  <c r="R126" i="48"/>
  <c r="T183" i="52"/>
  <c r="T182" i="52"/>
  <c r="R182" i="52"/>
  <c r="Q182" i="52"/>
  <c r="P182" i="52"/>
  <c r="O182" i="52"/>
  <c r="N182" i="52"/>
  <c r="M182" i="52"/>
  <c r="L182" i="52"/>
  <c r="K182" i="52"/>
  <c r="J182" i="52"/>
  <c r="I182" i="52"/>
  <c r="H182" i="52"/>
  <c r="G182" i="52"/>
  <c r="F182" i="52"/>
  <c r="E182" i="52"/>
  <c r="D182" i="52"/>
  <c r="C182" i="52"/>
  <c r="T181" i="52"/>
  <c r="T180" i="52"/>
  <c r="R180" i="52"/>
  <c r="Q180" i="52"/>
  <c r="P180" i="52"/>
  <c r="O180" i="52"/>
  <c r="N180" i="52"/>
  <c r="M180" i="52"/>
  <c r="L180" i="52"/>
  <c r="K180" i="52"/>
  <c r="J180" i="52"/>
  <c r="I180" i="52"/>
  <c r="H180" i="52"/>
  <c r="G180" i="52"/>
  <c r="F180" i="52"/>
  <c r="E180" i="52"/>
  <c r="D180" i="52"/>
  <c r="C180" i="52"/>
  <c r="T178" i="52"/>
  <c r="T177" i="52"/>
  <c r="R177" i="52"/>
  <c r="Q177" i="52"/>
  <c r="P177" i="52"/>
  <c r="O177" i="52"/>
  <c r="N177" i="52"/>
  <c r="M177" i="52"/>
  <c r="L177" i="52"/>
  <c r="K177" i="52"/>
  <c r="J177" i="52"/>
  <c r="I177" i="52"/>
  <c r="H177" i="52"/>
  <c r="G177" i="52"/>
  <c r="F177" i="52"/>
  <c r="E177" i="52"/>
  <c r="D177" i="52"/>
  <c r="C177" i="52"/>
  <c r="T175" i="52"/>
  <c r="R175" i="52"/>
  <c r="Q175" i="52"/>
  <c r="P175" i="52"/>
  <c r="O175" i="52"/>
  <c r="N175" i="52"/>
  <c r="M175" i="52"/>
  <c r="L175" i="52"/>
  <c r="K175" i="52"/>
  <c r="J175" i="52"/>
  <c r="I175" i="52"/>
  <c r="H175" i="52"/>
  <c r="G175" i="52"/>
  <c r="F175" i="52"/>
  <c r="E175" i="52"/>
  <c r="D175" i="52"/>
  <c r="C175" i="52"/>
  <c r="T174" i="52"/>
  <c r="T173" i="52"/>
  <c r="T171" i="52"/>
  <c r="T170" i="52"/>
  <c r="T168" i="52"/>
  <c r="T167" i="52"/>
  <c r="T164" i="52"/>
  <c r="T163" i="52"/>
  <c r="R163" i="52"/>
  <c r="Q163" i="52"/>
  <c r="P163" i="52"/>
  <c r="O163" i="52"/>
  <c r="N163" i="52"/>
  <c r="M163" i="52"/>
  <c r="L163" i="52"/>
  <c r="K163" i="52"/>
  <c r="J163" i="52"/>
  <c r="I163" i="52"/>
  <c r="H163" i="52"/>
  <c r="G163" i="52"/>
  <c r="F163" i="52"/>
  <c r="E163" i="52"/>
  <c r="D163" i="52"/>
  <c r="C163" i="52"/>
  <c r="T162" i="52"/>
  <c r="T161" i="52"/>
  <c r="R161" i="52"/>
  <c r="Q161" i="52"/>
  <c r="P161" i="52"/>
  <c r="O161" i="52"/>
  <c r="N161" i="52"/>
  <c r="M161" i="52"/>
  <c r="L161" i="52"/>
  <c r="K161" i="52"/>
  <c r="J161" i="52"/>
  <c r="I161" i="52"/>
  <c r="H161" i="52"/>
  <c r="G161" i="52"/>
  <c r="F161" i="52"/>
  <c r="E161" i="52"/>
  <c r="D161" i="52"/>
  <c r="C161" i="52"/>
  <c r="T159" i="52"/>
  <c r="T158" i="52"/>
  <c r="R158" i="52"/>
  <c r="Q158" i="52"/>
  <c r="P158" i="52"/>
  <c r="O158" i="52"/>
  <c r="N158" i="52"/>
  <c r="M158" i="52"/>
  <c r="L158" i="52"/>
  <c r="K158" i="52"/>
  <c r="J158" i="52"/>
  <c r="I158" i="52"/>
  <c r="H158" i="52"/>
  <c r="G158" i="52"/>
  <c r="F158" i="52"/>
  <c r="E158" i="52"/>
  <c r="D158" i="52"/>
  <c r="C158" i="52"/>
  <c r="T156" i="52"/>
  <c r="R156" i="52"/>
  <c r="Q156" i="52"/>
  <c r="P156" i="52"/>
  <c r="O156" i="52"/>
  <c r="N156" i="52"/>
  <c r="M156" i="52"/>
  <c r="L156" i="52"/>
  <c r="K156" i="52"/>
  <c r="J156" i="52"/>
  <c r="I156" i="52"/>
  <c r="H156" i="52"/>
  <c r="G156" i="52"/>
  <c r="F156" i="52"/>
  <c r="E156" i="52"/>
  <c r="D156" i="52"/>
  <c r="C156" i="52"/>
  <c r="T155" i="52"/>
  <c r="T154" i="52"/>
  <c r="T152" i="52"/>
  <c r="T151" i="52"/>
  <c r="T149" i="52"/>
  <c r="T148" i="52"/>
  <c r="T145" i="52"/>
  <c r="R145" i="52"/>
  <c r="Q145" i="52"/>
  <c r="P145" i="52"/>
  <c r="O145" i="52"/>
  <c r="N145" i="52"/>
  <c r="M145" i="52"/>
  <c r="L145" i="52"/>
  <c r="K145" i="52"/>
  <c r="J145" i="52"/>
  <c r="I145" i="52"/>
  <c r="H145" i="52"/>
  <c r="G145" i="52"/>
  <c r="F145" i="52"/>
  <c r="E145" i="52"/>
  <c r="D145" i="52"/>
  <c r="C145" i="52"/>
  <c r="T143" i="52"/>
  <c r="T142" i="52"/>
  <c r="R142" i="52"/>
  <c r="Q142" i="52"/>
  <c r="P142" i="52"/>
  <c r="O142" i="52"/>
  <c r="N142" i="52"/>
  <c r="M142" i="52"/>
  <c r="L142" i="52"/>
  <c r="K142" i="52"/>
  <c r="J142" i="52"/>
  <c r="I142" i="52"/>
  <c r="H142" i="52"/>
  <c r="G142" i="52"/>
  <c r="F142" i="52"/>
  <c r="E142" i="52"/>
  <c r="D142" i="52"/>
  <c r="C142" i="52"/>
  <c r="T141" i="52"/>
  <c r="T140" i="52"/>
  <c r="R140" i="52"/>
  <c r="Q140" i="52"/>
  <c r="P140" i="52"/>
  <c r="O140" i="52"/>
  <c r="N140" i="52"/>
  <c r="M140" i="52"/>
  <c r="L140" i="52"/>
  <c r="K140" i="52"/>
  <c r="J140" i="52"/>
  <c r="I140" i="52"/>
  <c r="H140" i="52"/>
  <c r="G140" i="52"/>
  <c r="F140" i="52"/>
  <c r="E140" i="52"/>
  <c r="D140" i="52"/>
  <c r="C140" i="52"/>
  <c r="T138" i="52"/>
  <c r="T137" i="52"/>
  <c r="R137" i="52"/>
  <c r="Q137" i="52"/>
  <c r="P137" i="52"/>
  <c r="O137" i="52"/>
  <c r="N137" i="52"/>
  <c r="M137" i="52"/>
  <c r="L137" i="52"/>
  <c r="K137" i="52"/>
  <c r="J137" i="52"/>
  <c r="I137" i="52"/>
  <c r="H137" i="52"/>
  <c r="G137" i="52"/>
  <c r="F137" i="52"/>
  <c r="E137" i="52"/>
  <c r="D137" i="52"/>
  <c r="C137" i="52"/>
  <c r="T135" i="52"/>
  <c r="R135" i="52"/>
  <c r="Q135" i="52"/>
  <c r="P135" i="52"/>
  <c r="O135" i="52"/>
  <c r="N135" i="52"/>
  <c r="M135" i="52"/>
  <c r="L135" i="52"/>
  <c r="K135" i="52"/>
  <c r="J135" i="52"/>
  <c r="I135" i="52"/>
  <c r="H135" i="52"/>
  <c r="G135" i="52"/>
  <c r="F135" i="52"/>
  <c r="E135" i="52"/>
  <c r="D135" i="52"/>
  <c r="C135" i="52"/>
  <c r="T134" i="52"/>
  <c r="T133" i="52"/>
  <c r="T131" i="52"/>
  <c r="T130" i="52"/>
  <c r="R129" i="52"/>
  <c r="Q129" i="52"/>
  <c r="P129" i="52"/>
  <c r="O129" i="52"/>
  <c r="N129" i="52"/>
  <c r="M129" i="52"/>
  <c r="L129" i="52"/>
  <c r="K129" i="52"/>
  <c r="J129" i="52"/>
  <c r="I129" i="52"/>
  <c r="H129" i="52"/>
  <c r="G129" i="52"/>
  <c r="F129" i="52"/>
  <c r="E129" i="52"/>
  <c r="D129" i="52"/>
  <c r="C129" i="52"/>
  <c r="T128" i="52"/>
  <c r="T127" i="52"/>
  <c r="R126" i="52"/>
  <c r="Q126" i="52"/>
  <c r="P126" i="52"/>
  <c r="O126" i="52"/>
  <c r="N126" i="52"/>
  <c r="M126" i="52"/>
  <c r="L126" i="52"/>
  <c r="K126" i="52"/>
  <c r="J126" i="52"/>
  <c r="I126" i="52"/>
  <c r="H126" i="52"/>
  <c r="G126" i="52"/>
  <c r="F126" i="52"/>
  <c r="E126" i="52"/>
  <c r="D126" i="52"/>
  <c r="C126" i="52"/>
  <c r="R124" i="52"/>
  <c r="Q124" i="52"/>
  <c r="P124" i="52"/>
  <c r="O124" i="52"/>
  <c r="N124" i="52"/>
  <c r="M124" i="52"/>
  <c r="L124" i="52"/>
  <c r="K124" i="52"/>
  <c r="J124" i="52"/>
  <c r="I124" i="52"/>
  <c r="H124" i="52"/>
  <c r="G124" i="52"/>
  <c r="F124" i="52"/>
  <c r="E124" i="52"/>
  <c r="D124" i="52"/>
  <c r="C124" i="52"/>
  <c r="T122" i="52"/>
  <c r="T121" i="52"/>
  <c r="R121" i="52"/>
  <c r="Q121" i="52"/>
  <c r="P121" i="52"/>
  <c r="O121" i="52"/>
  <c r="N121" i="52"/>
  <c r="M121" i="52"/>
  <c r="L121" i="52"/>
  <c r="K121" i="52"/>
  <c r="J121" i="52"/>
  <c r="I121" i="52"/>
  <c r="H121" i="52"/>
  <c r="G121" i="52"/>
  <c r="F121" i="52"/>
  <c r="E121" i="52"/>
  <c r="D121" i="52"/>
  <c r="C121" i="52"/>
  <c r="T120" i="52"/>
  <c r="T119" i="52"/>
  <c r="T117" i="52"/>
  <c r="T116" i="52"/>
  <c r="R116" i="52"/>
  <c r="Q116" i="52"/>
  <c r="P116" i="52"/>
  <c r="O116" i="52"/>
  <c r="N116" i="52"/>
  <c r="M116" i="52"/>
  <c r="L116" i="52"/>
  <c r="K116" i="52"/>
  <c r="J116" i="52"/>
  <c r="I116" i="52"/>
  <c r="H116" i="52"/>
  <c r="G116" i="52"/>
  <c r="F116" i="52"/>
  <c r="E116" i="52"/>
  <c r="D116" i="52"/>
  <c r="C116" i="52"/>
  <c r="T114" i="52"/>
  <c r="T113" i="52"/>
  <c r="T112" i="52"/>
  <c r="R111" i="52"/>
  <c r="Q111" i="52"/>
  <c r="P111" i="52"/>
  <c r="O111" i="52"/>
  <c r="N111" i="52"/>
  <c r="M111" i="52"/>
  <c r="L111" i="52"/>
  <c r="K111" i="52"/>
  <c r="J111" i="52"/>
  <c r="I111" i="52"/>
  <c r="H111" i="52"/>
  <c r="G111" i="52"/>
  <c r="F111" i="52"/>
  <c r="E111" i="52"/>
  <c r="D111" i="52"/>
  <c r="C111" i="52"/>
  <c r="T110" i="52"/>
  <c r="T109" i="52"/>
  <c r="T107" i="52"/>
  <c r="T106" i="52"/>
  <c r="G114" i="52"/>
  <c r="F114" i="52"/>
  <c r="C114" i="52"/>
  <c r="R105" i="52"/>
  <c r="Q105" i="52"/>
  <c r="P105" i="52"/>
  <c r="O105" i="52"/>
  <c r="N105" i="52"/>
  <c r="M105" i="52"/>
  <c r="L105" i="52"/>
  <c r="K105" i="52"/>
  <c r="J105" i="52"/>
  <c r="I105" i="52"/>
  <c r="H105" i="52"/>
  <c r="G105" i="52"/>
  <c r="F105" i="52"/>
  <c r="E105" i="52"/>
  <c r="D105" i="52"/>
  <c r="C105" i="52"/>
  <c r="T103" i="52"/>
  <c r="N103" i="52"/>
  <c r="M103" i="52"/>
  <c r="L103" i="52"/>
  <c r="K103" i="52"/>
  <c r="T101" i="52"/>
  <c r="T100" i="52"/>
  <c r="R100" i="52"/>
  <c r="Q100" i="52"/>
  <c r="P100" i="52"/>
  <c r="O100" i="52"/>
  <c r="N100" i="52"/>
  <c r="M100" i="52"/>
  <c r="L100" i="52"/>
  <c r="K100" i="52"/>
  <c r="J100" i="52"/>
  <c r="I100" i="52"/>
  <c r="H100" i="52"/>
  <c r="G100" i="52"/>
  <c r="F100" i="52"/>
  <c r="E100" i="52"/>
  <c r="D100" i="52"/>
  <c r="C100" i="52"/>
  <c r="T99" i="52"/>
  <c r="T98" i="52"/>
  <c r="R98" i="52"/>
  <c r="Q98" i="52"/>
  <c r="Q103" i="52" s="1"/>
  <c r="P98" i="52"/>
  <c r="O98" i="52"/>
  <c r="O103" i="52" s="1"/>
  <c r="N98" i="52"/>
  <c r="M98" i="52"/>
  <c r="L98" i="52"/>
  <c r="K98" i="52"/>
  <c r="J98" i="52"/>
  <c r="I98" i="52"/>
  <c r="I103" i="52" s="1"/>
  <c r="H98" i="52"/>
  <c r="H103" i="52" s="1"/>
  <c r="G98" i="52"/>
  <c r="G103" i="52" s="1"/>
  <c r="F98" i="52"/>
  <c r="F103" i="52" s="1"/>
  <c r="E98" i="52"/>
  <c r="D98" i="52"/>
  <c r="D103" i="52" s="1"/>
  <c r="C98" i="52"/>
  <c r="C103" i="52" s="1"/>
  <c r="R114" i="52"/>
  <c r="P114" i="52"/>
  <c r="O114" i="52"/>
  <c r="M114" i="52"/>
  <c r="H114" i="52"/>
  <c r="E114" i="52"/>
  <c r="T96" i="52"/>
  <c r="T95" i="52"/>
  <c r="R95" i="52"/>
  <c r="Q95" i="52"/>
  <c r="P95" i="52"/>
  <c r="O95" i="52"/>
  <c r="N95" i="52"/>
  <c r="M95" i="52"/>
  <c r="L95" i="52"/>
  <c r="K95" i="52"/>
  <c r="J95" i="52"/>
  <c r="I95" i="52"/>
  <c r="H95" i="52"/>
  <c r="G95" i="52"/>
  <c r="F95" i="52"/>
  <c r="E95" i="52"/>
  <c r="D95" i="52"/>
  <c r="C95" i="52"/>
  <c r="T93" i="52"/>
  <c r="R93" i="52"/>
  <c r="Q93" i="52"/>
  <c r="P93" i="52"/>
  <c r="O93" i="52"/>
  <c r="N93" i="52"/>
  <c r="M93" i="52"/>
  <c r="L93" i="52"/>
  <c r="K93" i="52"/>
  <c r="J93" i="52"/>
  <c r="I93" i="52"/>
  <c r="H93" i="52"/>
  <c r="G93" i="52"/>
  <c r="F93" i="52"/>
  <c r="E93" i="52"/>
  <c r="D93" i="52"/>
  <c r="C93" i="52"/>
  <c r="T92" i="52"/>
  <c r="T91" i="52"/>
  <c r="T89" i="52"/>
  <c r="T88" i="52"/>
  <c r="T86" i="52"/>
  <c r="T85" i="52"/>
  <c r="R82" i="52"/>
  <c r="Q82" i="52"/>
  <c r="P82" i="52"/>
  <c r="O82" i="52"/>
  <c r="N82" i="52"/>
  <c r="M82" i="52"/>
  <c r="L82" i="52"/>
  <c r="K82" i="52"/>
  <c r="J82" i="52"/>
  <c r="I82" i="52"/>
  <c r="H82" i="52"/>
  <c r="G82" i="52"/>
  <c r="F82" i="52"/>
  <c r="E82" i="52"/>
  <c r="D82" i="52"/>
  <c r="C82" i="52"/>
  <c r="T80" i="52"/>
  <c r="R80" i="52"/>
  <c r="Q80" i="52"/>
  <c r="Q114" i="52" s="1"/>
  <c r="P80" i="52"/>
  <c r="O80" i="52"/>
  <c r="N80" i="52"/>
  <c r="N114" i="52" s="1"/>
  <c r="M80" i="52"/>
  <c r="L80" i="52"/>
  <c r="L114" i="52" s="1"/>
  <c r="K80" i="52"/>
  <c r="K114" i="52" s="1"/>
  <c r="J80" i="52"/>
  <c r="J114" i="52" s="1"/>
  <c r="I80" i="52"/>
  <c r="I114" i="52" s="1"/>
  <c r="H80" i="52"/>
  <c r="G80" i="52"/>
  <c r="F80" i="52"/>
  <c r="E80" i="52"/>
  <c r="D80" i="52"/>
  <c r="D114" i="52" s="1"/>
  <c r="C80" i="52"/>
  <c r="T77" i="52"/>
  <c r="T76" i="52"/>
  <c r="R76" i="52"/>
  <c r="Q76" i="52"/>
  <c r="P76" i="52"/>
  <c r="O76" i="52"/>
  <c r="N76" i="52"/>
  <c r="M76" i="52"/>
  <c r="L76" i="52"/>
  <c r="K76" i="52"/>
  <c r="J76" i="52"/>
  <c r="I76" i="52"/>
  <c r="H76" i="52"/>
  <c r="G76" i="52"/>
  <c r="F76" i="52"/>
  <c r="E76" i="52"/>
  <c r="D76" i="52"/>
  <c r="C76" i="52"/>
  <c r="T75" i="52"/>
  <c r="T74" i="52"/>
  <c r="R74" i="52"/>
  <c r="Q74" i="52"/>
  <c r="P74" i="52"/>
  <c r="O74" i="52"/>
  <c r="N74" i="52"/>
  <c r="M74" i="52"/>
  <c r="L74" i="52"/>
  <c r="K74" i="52"/>
  <c r="J74" i="52"/>
  <c r="I74" i="52"/>
  <c r="H74" i="52"/>
  <c r="G74" i="52"/>
  <c r="F74" i="52"/>
  <c r="E74" i="52"/>
  <c r="D74" i="52"/>
  <c r="C74" i="52"/>
  <c r="T72" i="52"/>
  <c r="T71" i="52"/>
  <c r="R71" i="52"/>
  <c r="Q71" i="52"/>
  <c r="P71" i="52"/>
  <c r="O71" i="52"/>
  <c r="N71" i="52"/>
  <c r="M71" i="52"/>
  <c r="L71" i="52"/>
  <c r="K71" i="52"/>
  <c r="J71" i="52"/>
  <c r="I71" i="52"/>
  <c r="H71" i="52"/>
  <c r="G71" i="52"/>
  <c r="F71" i="52"/>
  <c r="E71" i="52"/>
  <c r="D71" i="52"/>
  <c r="C71" i="52"/>
  <c r="T69" i="52"/>
  <c r="R69" i="52"/>
  <c r="Q69" i="52"/>
  <c r="P69" i="52"/>
  <c r="O69" i="52"/>
  <c r="N69" i="52"/>
  <c r="M69" i="52"/>
  <c r="L69" i="52"/>
  <c r="K69" i="52"/>
  <c r="J69" i="52"/>
  <c r="I69" i="52"/>
  <c r="H69" i="52"/>
  <c r="G69" i="52"/>
  <c r="F69" i="52"/>
  <c r="E69" i="52"/>
  <c r="D69" i="52"/>
  <c r="C69" i="52"/>
  <c r="T68" i="52"/>
  <c r="T67" i="52"/>
  <c r="T65" i="52"/>
  <c r="T64" i="52"/>
  <c r="T62" i="52"/>
  <c r="T61" i="52"/>
  <c r="T58" i="52"/>
  <c r="T57" i="52"/>
  <c r="R57" i="52"/>
  <c r="Q57" i="52"/>
  <c r="P57" i="52"/>
  <c r="O57" i="52"/>
  <c r="N57" i="52"/>
  <c r="M57" i="52"/>
  <c r="L57" i="52"/>
  <c r="K57" i="52"/>
  <c r="J57" i="52"/>
  <c r="I57" i="52"/>
  <c r="H57" i="52"/>
  <c r="G57" i="52"/>
  <c r="F57" i="52"/>
  <c r="E57" i="52"/>
  <c r="D57" i="52"/>
  <c r="C57" i="52"/>
  <c r="T56" i="52"/>
  <c r="T55" i="52"/>
  <c r="R55" i="52"/>
  <c r="Q55" i="52"/>
  <c r="P55" i="52"/>
  <c r="O55" i="52"/>
  <c r="N55" i="52"/>
  <c r="M55" i="52"/>
  <c r="L55" i="52"/>
  <c r="K55" i="52"/>
  <c r="J55" i="52"/>
  <c r="I55" i="52"/>
  <c r="H55" i="52"/>
  <c r="G55" i="52"/>
  <c r="F55" i="52"/>
  <c r="E55" i="52"/>
  <c r="D55" i="52"/>
  <c r="C55" i="52"/>
  <c r="T53" i="52"/>
  <c r="T52" i="52"/>
  <c r="R52" i="52"/>
  <c r="Q52" i="52"/>
  <c r="P52" i="52"/>
  <c r="O52" i="52"/>
  <c r="N52" i="52"/>
  <c r="M52" i="52"/>
  <c r="L52" i="52"/>
  <c r="K52" i="52"/>
  <c r="J52" i="52"/>
  <c r="I52" i="52"/>
  <c r="H52" i="52"/>
  <c r="G52" i="52"/>
  <c r="F52" i="52"/>
  <c r="E52" i="52"/>
  <c r="D52" i="52"/>
  <c r="C52" i="52"/>
  <c r="T50" i="52"/>
  <c r="R50" i="52"/>
  <c r="Q50" i="52"/>
  <c r="P50" i="52"/>
  <c r="O50" i="52"/>
  <c r="N50" i="52"/>
  <c r="M50" i="52"/>
  <c r="L50" i="52"/>
  <c r="K50" i="52"/>
  <c r="J50" i="52"/>
  <c r="I50" i="52"/>
  <c r="H50" i="52"/>
  <c r="G50" i="52"/>
  <c r="F50" i="52"/>
  <c r="E50" i="52"/>
  <c r="D50" i="52"/>
  <c r="C50" i="52"/>
  <c r="T49" i="52"/>
  <c r="T48" i="52"/>
  <c r="R47" i="52"/>
  <c r="Q47" i="52"/>
  <c r="P47" i="52"/>
  <c r="O47" i="52"/>
  <c r="N47" i="52"/>
  <c r="M47" i="52"/>
  <c r="L47" i="52"/>
  <c r="K47" i="52"/>
  <c r="J47" i="52"/>
  <c r="I47" i="52"/>
  <c r="H47" i="52"/>
  <c r="G47" i="52"/>
  <c r="F47" i="52"/>
  <c r="E47" i="52"/>
  <c r="D47" i="52"/>
  <c r="C47" i="52"/>
  <c r="T46" i="52"/>
  <c r="T45" i="52"/>
  <c r="R44" i="52"/>
  <c r="Q44" i="52"/>
  <c r="P44" i="52"/>
  <c r="O44" i="52"/>
  <c r="N44" i="52"/>
  <c r="M44" i="52"/>
  <c r="L44" i="52"/>
  <c r="K44" i="52"/>
  <c r="J44" i="52"/>
  <c r="I44" i="52"/>
  <c r="H44" i="52"/>
  <c r="G44" i="52"/>
  <c r="F44" i="52"/>
  <c r="E44" i="52"/>
  <c r="D44" i="52"/>
  <c r="C44" i="52"/>
  <c r="T43" i="52"/>
  <c r="T42" i="52"/>
  <c r="R41" i="52"/>
  <c r="Q41" i="52"/>
  <c r="P41" i="52"/>
  <c r="O41" i="52"/>
  <c r="N41" i="52"/>
  <c r="M41" i="52"/>
  <c r="L41" i="52"/>
  <c r="K41" i="52"/>
  <c r="J41" i="52"/>
  <c r="I41" i="52"/>
  <c r="H41" i="52"/>
  <c r="G41" i="52"/>
  <c r="F41" i="52"/>
  <c r="E41" i="52"/>
  <c r="D41" i="52"/>
  <c r="C41" i="52"/>
  <c r="I39" i="52"/>
  <c r="H39" i="52"/>
  <c r="F39" i="52"/>
  <c r="R38" i="52"/>
  <c r="Q38" i="52"/>
  <c r="P38" i="52"/>
  <c r="O38" i="52"/>
  <c r="N38" i="52"/>
  <c r="M38" i="52"/>
  <c r="L38" i="52"/>
  <c r="K38" i="52"/>
  <c r="J38" i="52"/>
  <c r="I38" i="52"/>
  <c r="H38" i="52"/>
  <c r="G38" i="52"/>
  <c r="F38" i="52"/>
  <c r="E38" i="52"/>
  <c r="D38" i="52"/>
  <c r="C38" i="52"/>
  <c r="R37" i="52"/>
  <c r="R39" i="52" s="1"/>
  <c r="Q37" i="52"/>
  <c r="Q39" i="52" s="1"/>
  <c r="P37" i="52"/>
  <c r="P39" i="52" s="1"/>
  <c r="O37" i="52"/>
  <c r="O39" i="52" s="1"/>
  <c r="N37" i="52"/>
  <c r="N39" i="52" s="1"/>
  <c r="M37" i="52"/>
  <c r="M39" i="52" s="1"/>
  <c r="L37" i="52"/>
  <c r="L39" i="52" s="1"/>
  <c r="K37" i="52"/>
  <c r="K39" i="52" s="1"/>
  <c r="J37" i="52"/>
  <c r="J39" i="52" s="1"/>
  <c r="I37" i="52"/>
  <c r="H37" i="52"/>
  <c r="G37" i="52"/>
  <c r="G39" i="52" s="1"/>
  <c r="F37" i="52"/>
  <c r="E37" i="52"/>
  <c r="E39" i="52" s="1"/>
  <c r="D37" i="52"/>
  <c r="D39" i="52" s="1"/>
  <c r="C37" i="52"/>
  <c r="C39" i="52" s="1"/>
  <c r="T35" i="52"/>
  <c r="T34" i="52"/>
  <c r="R34" i="52"/>
  <c r="Q34" i="52"/>
  <c r="Q40" i="52" s="1"/>
  <c r="P34" i="52"/>
  <c r="O34" i="52"/>
  <c r="N34" i="52"/>
  <c r="M34" i="52"/>
  <c r="L34" i="52"/>
  <c r="K34" i="52"/>
  <c r="J34" i="52"/>
  <c r="I34" i="52"/>
  <c r="H34" i="52"/>
  <c r="G34" i="52"/>
  <c r="F34" i="52"/>
  <c r="E34" i="52"/>
  <c r="D34" i="52"/>
  <c r="C34" i="52"/>
  <c r="T33" i="52"/>
  <c r="T32" i="52"/>
  <c r="R32" i="52"/>
  <c r="Q32" i="52"/>
  <c r="P32" i="52"/>
  <c r="O32" i="52"/>
  <c r="N32" i="52"/>
  <c r="N40" i="52" s="1"/>
  <c r="M32" i="52"/>
  <c r="L32" i="52"/>
  <c r="L40" i="52" s="1"/>
  <c r="K32" i="52"/>
  <c r="J32" i="52"/>
  <c r="I32" i="52"/>
  <c r="I40" i="52" s="1"/>
  <c r="H32" i="52"/>
  <c r="G32" i="52"/>
  <c r="F32" i="52"/>
  <c r="E32" i="52"/>
  <c r="D32" i="52"/>
  <c r="C32" i="52"/>
  <c r="T30" i="52"/>
  <c r="T29" i="52"/>
  <c r="R29" i="52"/>
  <c r="Q29" i="52"/>
  <c r="P29" i="52"/>
  <c r="P30" i="52" s="1"/>
  <c r="O29" i="52"/>
  <c r="N29" i="52"/>
  <c r="M29" i="52"/>
  <c r="L29" i="52"/>
  <c r="K29" i="52"/>
  <c r="J29" i="52"/>
  <c r="I29" i="52"/>
  <c r="I30" i="52" s="1"/>
  <c r="I33" i="52" s="1"/>
  <c r="I35" i="52" s="1"/>
  <c r="I7" i="52" s="1"/>
  <c r="I83" i="46" s="1"/>
  <c r="H29" i="52"/>
  <c r="G29" i="52"/>
  <c r="F29" i="52"/>
  <c r="E29" i="52"/>
  <c r="E30" i="52" s="1"/>
  <c r="D29" i="52"/>
  <c r="D30" i="52" s="1"/>
  <c r="C29" i="52"/>
  <c r="T27" i="52"/>
  <c r="R27" i="52"/>
  <c r="Q27" i="52"/>
  <c r="P27" i="52"/>
  <c r="O27" i="52"/>
  <c r="N27" i="52"/>
  <c r="M27" i="52"/>
  <c r="L27" i="52"/>
  <c r="K27" i="52"/>
  <c r="K30" i="52" s="1"/>
  <c r="J27" i="52"/>
  <c r="I27" i="52"/>
  <c r="H27" i="52"/>
  <c r="G27" i="52"/>
  <c r="F27" i="52"/>
  <c r="E27" i="52"/>
  <c r="D27" i="52"/>
  <c r="C27" i="52"/>
  <c r="C30" i="52" s="1"/>
  <c r="T26" i="52"/>
  <c r="T25" i="52"/>
  <c r="T23" i="52"/>
  <c r="T22" i="52"/>
  <c r="T20" i="52"/>
  <c r="T19" i="52"/>
  <c r="T18" i="52"/>
  <c r="E53" i="52" l="1"/>
  <c r="Q30" i="52"/>
  <c r="Q33" i="52" s="1"/>
  <c r="Q35" i="52" s="1"/>
  <c r="Q7" i="52" s="1"/>
  <c r="Q83" i="46" s="1"/>
  <c r="D33" i="52"/>
  <c r="D26" i="52" s="1"/>
  <c r="Q23" i="52"/>
  <c r="F30" i="52"/>
  <c r="F33" i="52" s="1"/>
  <c r="F23" i="52" s="1"/>
  <c r="N30" i="52"/>
  <c r="N33" i="52" s="1"/>
  <c r="M53" i="52"/>
  <c r="M56" i="52" s="1"/>
  <c r="L33" i="52"/>
  <c r="L35" i="52" s="1"/>
  <c r="L7" i="52" s="1"/>
  <c r="L83" i="46" s="1"/>
  <c r="L30" i="52"/>
  <c r="Q53" i="52"/>
  <c r="Q56" i="52" s="1"/>
  <c r="Q58" i="52" s="1"/>
  <c r="Q8" i="52" s="1"/>
  <c r="Q84" i="46" s="1"/>
  <c r="M30" i="52"/>
  <c r="H30" i="52"/>
  <c r="H33" i="52" s="1"/>
  <c r="L53" i="52"/>
  <c r="L72" i="52" s="1"/>
  <c r="L75" i="52" s="1"/>
  <c r="L77" i="52" s="1"/>
  <c r="L9" i="52" s="1"/>
  <c r="L85" i="46" s="1"/>
  <c r="D53" i="52"/>
  <c r="D72" i="52" s="1"/>
  <c r="D75" i="52" s="1"/>
  <c r="D77" i="52" s="1"/>
  <c r="D9" i="52" s="1"/>
  <c r="D85" i="46" s="1"/>
  <c r="U129" i="52"/>
  <c r="U47" i="52"/>
  <c r="Q43" i="52"/>
  <c r="I53" i="52"/>
  <c r="I56" i="52" s="1"/>
  <c r="I43" i="52" s="1"/>
  <c r="G53" i="52"/>
  <c r="G72" i="52" s="1"/>
  <c r="G75" i="52" s="1"/>
  <c r="O53" i="52"/>
  <c r="O72" i="52" s="1"/>
  <c r="O75" i="52" s="1"/>
  <c r="C33" i="52"/>
  <c r="K33" i="52"/>
  <c r="K40" i="52"/>
  <c r="C40" i="52"/>
  <c r="U44" i="52"/>
  <c r="H53" i="52"/>
  <c r="H56" i="52" s="1"/>
  <c r="E26" i="52"/>
  <c r="E23" i="52"/>
  <c r="D35" i="52"/>
  <c r="D7" i="52" s="1"/>
  <c r="D83" i="46" s="1"/>
  <c r="P20" i="52"/>
  <c r="I26" i="52"/>
  <c r="R26" i="52"/>
  <c r="R20" i="52"/>
  <c r="R23" i="52"/>
  <c r="U41" i="52"/>
  <c r="C53" i="52"/>
  <c r="C56" i="52" s="1"/>
  <c r="C43" i="52" s="1"/>
  <c r="K53" i="52"/>
  <c r="M23" i="52"/>
  <c r="K26" i="52"/>
  <c r="Q49" i="52"/>
  <c r="F26" i="52"/>
  <c r="N35" i="52"/>
  <c r="N7" i="52" s="1"/>
  <c r="N83" i="46" s="1"/>
  <c r="N26" i="52"/>
  <c r="N23" i="52"/>
  <c r="H40" i="52"/>
  <c r="P33" i="52"/>
  <c r="P23" i="52" s="1"/>
  <c r="P40" i="52"/>
  <c r="G30" i="52"/>
  <c r="G33" i="52" s="1"/>
  <c r="O30" i="52"/>
  <c r="O33" i="52" s="1"/>
  <c r="P53" i="52"/>
  <c r="P72" i="52" s="1"/>
  <c r="P96" i="52" s="1"/>
  <c r="P117" i="52" s="1"/>
  <c r="J103" i="52"/>
  <c r="R103" i="52"/>
  <c r="Q26" i="52"/>
  <c r="J40" i="52"/>
  <c r="R40" i="52"/>
  <c r="Q46" i="52"/>
  <c r="U105" i="52"/>
  <c r="U111" i="52"/>
  <c r="R30" i="52"/>
  <c r="R33" i="52" s="1"/>
  <c r="R35" i="52" s="1"/>
  <c r="R7" i="52" s="1"/>
  <c r="R83" i="46" s="1"/>
  <c r="D40" i="52"/>
  <c r="O40" i="52"/>
  <c r="E56" i="52"/>
  <c r="I23" i="52"/>
  <c r="E40" i="52"/>
  <c r="E33" i="52"/>
  <c r="E35" i="52" s="1"/>
  <c r="E7" i="52" s="1"/>
  <c r="E83" i="46" s="1"/>
  <c r="M40" i="52"/>
  <c r="M33" i="52"/>
  <c r="F40" i="52"/>
  <c r="J30" i="52"/>
  <c r="J33" i="52" s="1"/>
  <c r="J26" i="52" s="1"/>
  <c r="N20" i="52"/>
  <c r="G40" i="52"/>
  <c r="I20" i="52"/>
  <c r="Q20" i="52"/>
  <c r="P103" i="52"/>
  <c r="E72" i="52"/>
  <c r="E96" i="52" s="1"/>
  <c r="E117" i="52" s="1"/>
  <c r="E103" i="52"/>
  <c r="U126" i="52"/>
  <c r="M72" i="52" l="1"/>
  <c r="M75" i="52" s="1"/>
  <c r="L20" i="52"/>
  <c r="L26" i="52"/>
  <c r="L23" i="52"/>
  <c r="N53" i="52"/>
  <c r="N56" i="52" s="1"/>
  <c r="N58" i="52" s="1"/>
  <c r="N8" i="52" s="1"/>
  <c r="N84" i="46" s="1"/>
  <c r="F35" i="52"/>
  <c r="F7" i="52" s="1"/>
  <c r="F83" i="46" s="1"/>
  <c r="F53" i="52"/>
  <c r="F56" i="52" s="1"/>
  <c r="F46" i="52" s="1"/>
  <c r="F20" i="52"/>
  <c r="D20" i="52"/>
  <c r="R53" i="52"/>
  <c r="R72" i="52" s="1"/>
  <c r="D23" i="52"/>
  <c r="Q72" i="52"/>
  <c r="Q96" i="52" s="1"/>
  <c r="Q99" i="52" s="1"/>
  <c r="L96" i="52"/>
  <c r="L99" i="52" s="1"/>
  <c r="L101" i="52" s="1"/>
  <c r="L10" i="52" s="1"/>
  <c r="L86" i="46" s="1"/>
  <c r="L68" i="52"/>
  <c r="L65" i="52"/>
  <c r="L62" i="52"/>
  <c r="D65" i="52"/>
  <c r="D62" i="52"/>
  <c r="D96" i="52"/>
  <c r="D99" i="52" s="1"/>
  <c r="D101" i="52" s="1"/>
  <c r="D10" i="52" s="1"/>
  <c r="D86" i="46" s="1"/>
  <c r="D68" i="52"/>
  <c r="L56" i="52"/>
  <c r="L58" i="52" s="1"/>
  <c r="L8" i="52" s="1"/>
  <c r="L84" i="46" s="1"/>
  <c r="D56" i="52"/>
  <c r="D49" i="52" s="1"/>
  <c r="P99" i="52"/>
  <c r="P101" i="52" s="1"/>
  <c r="P10" i="52" s="1"/>
  <c r="P86" i="46" s="1"/>
  <c r="R56" i="52"/>
  <c r="R43" i="52" s="1"/>
  <c r="P75" i="52"/>
  <c r="P68" i="52" s="1"/>
  <c r="P56" i="52"/>
  <c r="P58" i="52" s="1"/>
  <c r="P8" i="52" s="1"/>
  <c r="P84" i="46" s="1"/>
  <c r="M96" i="52"/>
  <c r="M117" i="52" s="1"/>
  <c r="M120" i="52" s="1"/>
  <c r="E99" i="52"/>
  <c r="E89" i="52" s="1"/>
  <c r="D58" i="52"/>
  <c r="D8" i="52" s="1"/>
  <c r="D84" i="46" s="1"/>
  <c r="O96" i="52"/>
  <c r="O99" i="52" s="1"/>
  <c r="O86" i="52" s="1"/>
  <c r="H72" i="52"/>
  <c r="H75" i="52" s="1"/>
  <c r="H68" i="52" s="1"/>
  <c r="G96" i="52"/>
  <c r="G99" i="52" s="1"/>
  <c r="G92" i="52" s="1"/>
  <c r="P120" i="52"/>
  <c r="P138" i="52"/>
  <c r="M62" i="52"/>
  <c r="M77" i="52"/>
  <c r="M9" i="52" s="1"/>
  <c r="M85" i="46" s="1"/>
  <c r="M65" i="52"/>
  <c r="M68" i="52"/>
  <c r="E120" i="52"/>
  <c r="E138" i="52"/>
  <c r="R96" i="52"/>
  <c r="R75" i="52"/>
  <c r="O23" i="52"/>
  <c r="O20" i="52"/>
  <c r="O35" i="52"/>
  <c r="O7" i="52" s="1"/>
  <c r="O83" i="46" s="1"/>
  <c r="O26" i="52"/>
  <c r="H58" i="52"/>
  <c r="H8" i="52" s="1"/>
  <c r="H84" i="46" s="1"/>
  <c r="H49" i="52"/>
  <c r="H46" i="52"/>
  <c r="H43" i="52"/>
  <c r="H20" i="52"/>
  <c r="H23" i="52"/>
  <c r="H35" i="52"/>
  <c r="H7" i="52" s="1"/>
  <c r="H83" i="46" s="1"/>
  <c r="H26" i="52"/>
  <c r="Q89" i="52"/>
  <c r="Q86" i="52"/>
  <c r="Q101" i="52"/>
  <c r="Q10" i="52" s="1"/>
  <c r="Q86" i="46" s="1"/>
  <c r="Q92" i="52"/>
  <c r="G65" i="52"/>
  <c r="G62" i="52"/>
  <c r="G68" i="52"/>
  <c r="G77" i="52"/>
  <c r="G9" i="52" s="1"/>
  <c r="G85" i="46" s="1"/>
  <c r="I46" i="52"/>
  <c r="I49" i="52"/>
  <c r="I58" i="52"/>
  <c r="I8" i="52" s="1"/>
  <c r="I84" i="46" s="1"/>
  <c r="I72" i="52"/>
  <c r="J23" i="52"/>
  <c r="N46" i="52"/>
  <c r="C72" i="52"/>
  <c r="O56" i="52"/>
  <c r="F58" i="52"/>
  <c r="F8" i="52" s="1"/>
  <c r="F84" i="46" s="1"/>
  <c r="D92" i="52"/>
  <c r="M35" i="52"/>
  <c r="M7" i="52" s="1"/>
  <c r="M83" i="46" s="1"/>
  <c r="M20" i="52"/>
  <c r="G56" i="52"/>
  <c r="G23" i="52"/>
  <c r="G20" i="52"/>
  <c r="G35" i="52"/>
  <c r="G7" i="52" s="1"/>
  <c r="G83" i="46" s="1"/>
  <c r="G26" i="52"/>
  <c r="K56" i="52"/>
  <c r="K72" i="52"/>
  <c r="M26" i="52"/>
  <c r="C58" i="52"/>
  <c r="C8" i="52" s="1"/>
  <c r="C84" i="46" s="1"/>
  <c r="C49" i="52"/>
  <c r="C46" i="52"/>
  <c r="J53" i="52"/>
  <c r="K35" i="52"/>
  <c r="K7" i="52" s="1"/>
  <c r="K83" i="46" s="1"/>
  <c r="K23" i="52"/>
  <c r="K20" i="52"/>
  <c r="N72" i="52"/>
  <c r="M49" i="52"/>
  <c r="M46" i="52"/>
  <c r="M58" i="52"/>
  <c r="M8" i="52" s="1"/>
  <c r="M84" i="46" s="1"/>
  <c r="M43" i="52"/>
  <c r="P26" i="52"/>
  <c r="P35" i="52"/>
  <c r="P7" i="52" s="1"/>
  <c r="P83" i="46" s="1"/>
  <c r="X14" i="52"/>
  <c r="X15" i="52" s="1"/>
  <c r="G79" i="46" s="1"/>
  <c r="E20" i="52"/>
  <c r="C35" i="52"/>
  <c r="C7" i="52" s="1"/>
  <c r="C83" i="46" s="1"/>
  <c r="C26" i="52"/>
  <c r="C23" i="52"/>
  <c r="C20" i="52"/>
  <c r="E75" i="52"/>
  <c r="J35" i="52"/>
  <c r="J7" i="52" s="1"/>
  <c r="J83" i="46" s="1"/>
  <c r="J20" i="52"/>
  <c r="E58" i="52"/>
  <c r="E8" i="52" s="1"/>
  <c r="E84" i="46" s="1"/>
  <c r="E49" i="52"/>
  <c r="E46" i="52"/>
  <c r="E43" i="52"/>
  <c r="O65" i="52"/>
  <c r="O77" i="52"/>
  <c r="O9" i="52" s="1"/>
  <c r="O85" i="46" s="1"/>
  <c r="O68" i="52"/>
  <c r="O62" i="52"/>
  <c r="R41" i="49"/>
  <c r="Q41" i="49"/>
  <c r="P41" i="49"/>
  <c r="O41" i="49"/>
  <c r="N41" i="49"/>
  <c r="M41" i="49"/>
  <c r="L41" i="49"/>
  <c r="K41" i="49"/>
  <c r="J41" i="49"/>
  <c r="I41" i="49"/>
  <c r="H41" i="49"/>
  <c r="G41" i="49"/>
  <c r="F41" i="49"/>
  <c r="E41" i="49"/>
  <c r="D41" i="49"/>
  <c r="C41" i="49"/>
  <c r="R41" i="48"/>
  <c r="Q41" i="48"/>
  <c r="P41" i="48"/>
  <c r="O41" i="48"/>
  <c r="N41" i="48"/>
  <c r="M41" i="48"/>
  <c r="L41" i="48"/>
  <c r="K41" i="48"/>
  <c r="J41" i="48"/>
  <c r="I41" i="48"/>
  <c r="H41" i="48"/>
  <c r="G41" i="48"/>
  <c r="F41" i="48"/>
  <c r="E41" i="48"/>
  <c r="D41" i="48"/>
  <c r="C41" i="48"/>
  <c r="R41" i="47"/>
  <c r="Q41" i="47"/>
  <c r="P41" i="47"/>
  <c r="O41" i="47"/>
  <c r="N41" i="47"/>
  <c r="M41" i="47"/>
  <c r="L41" i="47"/>
  <c r="K41" i="47"/>
  <c r="J41" i="47"/>
  <c r="I41" i="47"/>
  <c r="H41" i="47"/>
  <c r="G41" i="47"/>
  <c r="F41" i="47"/>
  <c r="E41" i="47"/>
  <c r="D41" i="47"/>
  <c r="C41" i="47"/>
  <c r="R41" i="38"/>
  <c r="Q41" i="38"/>
  <c r="P41" i="38"/>
  <c r="O41" i="38"/>
  <c r="N41" i="38"/>
  <c r="M41" i="38"/>
  <c r="L41" i="38"/>
  <c r="K41" i="38"/>
  <c r="J41" i="38"/>
  <c r="I41" i="38"/>
  <c r="H41" i="38"/>
  <c r="G41" i="38"/>
  <c r="F41" i="38"/>
  <c r="E41" i="38"/>
  <c r="D41" i="38"/>
  <c r="C41" i="38"/>
  <c r="L41" i="19"/>
  <c r="M41" i="19"/>
  <c r="N41" i="19"/>
  <c r="O41" i="19"/>
  <c r="P41" i="19"/>
  <c r="Q41" i="19"/>
  <c r="R41" i="19"/>
  <c r="K41" i="19"/>
  <c r="D41" i="19"/>
  <c r="E41" i="19"/>
  <c r="F41" i="19"/>
  <c r="G41" i="19"/>
  <c r="H41" i="19"/>
  <c r="I41" i="19"/>
  <c r="J41" i="19"/>
  <c r="C41" i="19"/>
  <c r="R126" i="49"/>
  <c r="Q126" i="49"/>
  <c r="P126" i="49"/>
  <c r="O126" i="49"/>
  <c r="N126" i="49"/>
  <c r="M126" i="49"/>
  <c r="L126" i="49"/>
  <c r="K126" i="49"/>
  <c r="J126" i="49"/>
  <c r="I126" i="49"/>
  <c r="H126" i="49"/>
  <c r="G126" i="49"/>
  <c r="F126" i="49"/>
  <c r="E126" i="49"/>
  <c r="D126" i="49"/>
  <c r="C126" i="49"/>
  <c r="I126" i="48"/>
  <c r="H126" i="48"/>
  <c r="G126" i="48"/>
  <c r="F126" i="48"/>
  <c r="E126" i="48"/>
  <c r="D126" i="48"/>
  <c r="C126" i="48"/>
  <c r="R126" i="47"/>
  <c r="Q126" i="47"/>
  <c r="P126" i="47"/>
  <c r="O126" i="47"/>
  <c r="N126" i="47"/>
  <c r="M126" i="47"/>
  <c r="L126" i="47"/>
  <c r="K126" i="47"/>
  <c r="J126" i="47"/>
  <c r="I126" i="47"/>
  <c r="H126" i="47"/>
  <c r="G126" i="47"/>
  <c r="F126" i="47"/>
  <c r="E126" i="47"/>
  <c r="D126" i="47"/>
  <c r="C126" i="47"/>
  <c r="R126" i="38"/>
  <c r="Q126" i="38"/>
  <c r="P126" i="38"/>
  <c r="O126" i="38"/>
  <c r="N126" i="38"/>
  <c r="M126" i="38"/>
  <c r="L126" i="38"/>
  <c r="K126" i="38"/>
  <c r="J126" i="38"/>
  <c r="I126" i="38"/>
  <c r="H126" i="38"/>
  <c r="G126" i="38"/>
  <c r="F126" i="38"/>
  <c r="E126" i="38"/>
  <c r="D126" i="38"/>
  <c r="C126" i="38"/>
  <c r="D126" i="19"/>
  <c r="E126" i="19"/>
  <c r="F126" i="19"/>
  <c r="G126" i="19"/>
  <c r="H126" i="19"/>
  <c r="I126" i="19"/>
  <c r="J126" i="19"/>
  <c r="K126" i="19"/>
  <c r="L126" i="19"/>
  <c r="M126" i="19"/>
  <c r="N126" i="19"/>
  <c r="O126" i="19"/>
  <c r="P126" i="19"/>
  <c r="Q126" i="19"/>
  <c r="R126" i="19"/>
  <c r="C126" i="19"/>
  <c r="R105" i="49"/>
  <c r="Q105" i="49"/>
  <c r="P105" i="49"/>
  <c r="O105" i="49"/>
  <c r="N105" i="49"/>
  <c r="M105" i="49"/>
  <c r="L105" i="49"/>
  <c r="K105" i="49"/>
  <c r="J105" i="49"/>
  <c r="I105" i="49"/>
  <c r="H105" i="49"/>
  <c r="G105" i="49"/>
  <c r="F105" i="49"/>
  <c r="E105" i="49"/>
  <c r="D105" i="49"/>
  <c r="C105" i="49"/>
  <c r="R105" i="48"/>
  <c r="Q105" i="48"/>
  <c r="P105" i="48"/>
  <c r="O105" i="48"/>
  <c r="N105" i="48"/>
  <c r="M105" i="48"/>
  <c r="L105" i="48"/>
  <c r="K105" i="48"/>
  <c r="J105" i="48"/>
  <c r="I105" i="48"/>
  <c r="H105" i="48"/>
  <c r="G105" i="48"/>
  <c r="F105" i="48"/>
  <c r="E105" i="48"/>
  <c r="D105" i="48"/>
  <c r="C105" i="48"/>
  <c r="R105" i="47"/>
  <c r="Q105" i="47"/>
  <c r="P105" i="47"/>
  <c r="O105" i="47"/>
  <c r="N105" i="47"/>
  <c r="M105" i="47"/>
  <c r="L105" i="47"/>
  <c r="K105" i="47"/>
  <c r="J105" i="47"/>
  <c r="I105" i="47"/>
  <c r="H105" i="47"/>
  <c r="G105" i="47"/>
  <c r="F105" i="47"/>
  <c r="E105" i="47"/>
  <c r="D105" i="47"/>
  <c r="C105" i="47"/>
  <c r="R105" i="38"/>
  <c r="Q105" i="38"/>
  <c r="P105" i="38"/>
  <c r="O105" i="38"/>
  <c r="N105" i="38"/>
  <c r="M105" i="38"/>
  <c r="L105" i="38"/>
  <c r="K105" i="38"/>
  <c r="J105" i="38"/>
  <c r="I105" i="38"/>
  <c r="H105" i="38"/>
  <c r="G105" i="38"/>
  <c r="F105" i="38"/>
  <c r="E105" i="38"/>
  <c r="D105" i="38"/>
  <c r="C105" i="38"/>
  <c r="D105" i="19"/>
  <c r="E105" i="19"/>
  <c r="F105" i="19"/>
  <c r="G105" i="19"/>
  <c r="H105" i="19"/>
  <c r="I105" i="19"/>
  <c r="J105" i="19"/>
  <c r="K105" i="19"/>
  <c r="L105" i="19"/>
  <c r="M105" i="19"/>
  <c r="N105" i="19"/>
  <c r="O105" i="19"/>
  <c r="P105" i="19"/>
  <c r="Q105" i="19"/>
  <c r="R105" i="19"/>
  <c r="C105" i="19"/>
  <c r="D46" i="52" l="1"/>
  <c r="N43" i="52"/>
  <c r="N49" i="52"/>
  <c r="O92" i="52"/>
  <c r="F43" i="52"/>
  <c r="F72" i="52"/>
  <c r="F96" i="52" s="1"/>
  <c r="F99" i="52" s="1"/>
  <c r="F101" i="52" s="1"/>
  <c r="F10" i="52" s="1"/>
  <c r="F86" i="46" s="1"/>
  <c r="Q75" i="52"/>
  <c r="Q62" i="52" s="1"/>
  <c r="O101" i="52"/>
  <c r="O10" i="52" s="1"/>
  <c r="O86" i="46" s="1"/>
  <c r="R46" i="52"/>
  <c r="F49" i="52"/>
  <c r="Q117" i="52"/>
  <c r="Q138" i="52" s="1"/>
  <c r="L92" i="52"/>
  <c r="L117" i="52"/>
  <c r="L120" i="52" s="1"/>
  <c r="L86" i="52"/>
  <c r="L89" i="52"/>
  <c r="D117" i="52"/>
  <c r="D120" i="52" s="1"/>
  <c r="D86" i="52"/>
  <c r="L43" i="52"/>
  <c r="D89" i="52"/>
  <c r="L49" i="52"/>
  <c r="L46" i="52"/>
  <c r="R58" i="52"/>
  <c r="R8" i="52" s="1"/>
  <c r="R84" i="46" s="1"/>
  <c r="P86" i="52"/>
  <c r="R49" i="52"/>
  <c r="P89" i="52"/>
  <c r="P62" i="52"/>
  <c r="P92" i="52"/>
  <c r="E101" i="52"/>
  <c r="E10" i="52" s="1"/>
  <c r="E86" i="46" s="1"/>
  <c r="D43" i="52"/>
  <c r="E92" i="52"/>
  <c r="O89" i="52"/>
  <c r="H62" i="52"/>
  <c r="O117" i="52"/>
  <c r="O138" i="52" s="1"/>
  <c r="P77" i="52"/>
  <c r="P9" i="52" s="1"/>
  <c r="P85" i="46" s="1"/>
  <c r="P65" i="52"/>
  <c r="M99" i="52"/>
  <c r="M86" i="52" s="1"/>
  <c r="H77" i="52"/>
  <c r="H9" i="52" s="1"/>
  <c r="H85" i="46" s="1"/>
  <c r="P46" i="52"/>
  <c r="M138" i="52"/>
  <c r="M159" i="52" s="1"/>
  <c r="E86" i="52"/>
  <c r="H65" i="52"/>
  <c r="P49" i="52"/>
  <c r="F117" i="52"/>
  <c r="F120" i="52" s="1"/>
  <c r="P43" i="52"/>
  <c r="F92" i="52"/>
  <c r="U126" i="48"/>
  <c r="G86" i="52"/>
  <c r="H96" i="52"/>
  <c r="H99" i="52" s="1"/>
  <c r="G89" i="52"/>
  <c r="G117" i="52"/>
  <c r="G120" i="52" s="1"/>
  <c r="G101" i="52"/>
  <c r="G10" i="52" s="1"/>
  <c r="G86" i="46" s="1"/>
  <c r="E159" i="52"/>
  <c r="E141" i="52"/>
  <c r="N96" i="52"/>
  <c r="N75" i="52"/>
  <c r="K58" i="52"/>
  <c r="K8" i="52" s="1"/>
  <c r="K84" i="46" s="1"/>
  <c r="K46" i="52"/>
  <c r="K49" i="52"/>
  <c r="K43" i="52"/>
  <c r="E122" i="52"/>
  <c r="E11" i="52" s="1"/>
  <c r="E87" i="46" s="1"/>
  <c r="E113" i="52"/>
  <c r="E107" i="52"/>
  <c r="E110" i="52"/>
  <c r="E65" i="52"/>
  <c r="E77" i="52"/>
  <c r="E9" i="52" s="1"/>
  <c r="E85" i="46" s="1"/>
  <c r="E62" i="52"/>
  <c r="E68" i="52"/>
  <c r="O58" i="52"/>
  <c r="O8" i="52" s="1"/>
  <c r="O84" i="46" s="1"/>
  <c r="O43" i="52"/>
  <c r="O46" i="52"/>
  <c r="O49" i="52"/>
  <c r="L138" i="52"/>
  <c r="I96" i="52"/>
  <c r="I75" i="52"/>
  <c r="M122" i="52"/>
  <c r="M11" i="52" s="1"/>
  <c r="M87" i="46" s="1"/>
  <c r="M107" i="52"/>
  <c r="M113" i="52"/>
  <c r="M110" i="52"/>
  <c r="Q120" i="52"/>
  <c r="J56" i="52"/>
  <c r="J72" i="52"/>
  <c r="G43" i="52"/>
  <c r="G49" i="52"/>
  <c r="G46" i="52"/>
  <c r="G58" i="52"/>
  <c r="G8" i="52" s="1"/>
  <c r="G84" i="46" s="1"/>
  <c r="C96" i="52"/>
  <c r="C75" i="52"/>
  <c r="R65" i="52"/>
  <c r="R62" i="52"/>
  <c r="R68" i="52"/>
  <c r="R77" i="52"/>
  <c r="R9" i="52" s="1"/>
  <c r="R85" i="46" s="1"/>
  <c r="P141" i="52"/>
  <c r="P159" i="52"/>
  <c r="K96" i="52"/>
  <c r="K75" i="52"/>
  <c r="R99" i="52"/>
  <c r="R117" i="52"/>
  <c r="P122" i="52"/>
  <c r="P11" i="52" s="1"/>
  <c r="P87" i="46" s="1"/>
  <c r="P110" i="52"/>
  <c r="P113" i="52"/>
  <c r="P107" i="52"/>
  <c r="T183" i="49"/>
  <c r="T182" i="49"/>
  <c r="R182" i="49"/>
  <c r="Q182" i="49"/>
  <c r="P182" i="49"/>
  <c r="O182" i="49"/>
  <c r="N182" i="49"/>
  <c r="M182" i="49"/>
  <c r="L182" i="49"/>
  <c r="K182" i="49"/>
  <c r="J182" i="49"/>
  <c r="I182" i="49"/>
  <c r="H182" i="49"/>
  <c r="G182" i="49"/>
  <c r="F182" i="49"/>
  <c r="E182" i="49"/>
  <c r="D182" i="49"/>
  <c r="C182" i="49"/>
  <c r="T181" i="49"/>
  <c r="T180" i="49"/>
  <c r="R180" i="49"/>
  <c r="Q180" i="49"/>
  <c r="P180" i="49"/>
  <c r="O180" i="49"/>
  <c r="N180" i="49"/>
  <c r="M180" i="49"/>
  <c r="L180" i="49"/>
  <c r="K180" i="49"/>
  <c r="J180" i="49"/>
  <c r="I180" i="49"/>
  <c r="H180" i="49"/>
  <c r="G180" i="49"/>
  <c r="F180" i="49"/>
  <c r="E180" i="49"/>
  <c r="D180" i="49"/>
  <c r="C180" i="49"/>
  <c r="T178" i="49"/>
  <c r="T177" i="49"/>
  <c r="R177" i="49"/>
  <c r="Q177" i="49"/>
  <c r="P177" i="49"/>
  <c r="O177" i="49"/>
  <c r="N177" i="49"/>
  <c r="M177" i="49"/>
  <c r="L177" i="49"/>
  <c r="K177" i="49"/>
  <c r="J177" i="49"/>
  <c r="I177" i="49"/>
  <c r="H177" i="49"/>
  <c r="G177" i="49"/>
  <c r="F177" i="49"/>
  <c r="E177" i="49"/>
  <c r="D177" i="49"/>
  <c r="C177" i="49"/>
  <c r="T175" i="49"/>
  <c r="R175" i="49"/>
  <c r="Q175" i="49"/>
  <c r="P175" i="49"/>
  <c r="O175" i="49"/>
  <c r="N175" i="49"/>
  <c r="M175" i="49"/>
  <c r="L175" i="49"/>
  <c r="K175" i="49"/>
  <c r="J175" i="49"/>
  <c r="I175" i="49"/>
  <c r="H175" i="49"/>
  <c r="G175" i="49"/>
  <c r="F175" i="49"/>
  <c r="E175" i="49"/>
  <c r="D175" i="49"/>
  <c r="C175" i="49"/>
  <c r="T174" i="49"/>
  <c r="T173" i="49"/>
  <c r="T171" i="49"/>
  <c r="T170" i="49"/>
  <c r="T168" i="49"/>
  <c r="T167" i="49"/>
  <c r="T164" i="49"/>
  <c r="T163" i="49"/>
  <c r="R163" i="49"/>
  <c r="Q163" i="49"/>
  <c r="P163" i="49"/>
  <c r="O163" i="49"/>
  <c r="N163" i="49"/>
  <c r="M163" i="49"/>
  <c r="L163" i="49"/>
  <c r="K163" i="49"/>
  <c r="J163" i="49"/>
  <c r="I163" i="49"/>
  <c r="H163" i="49"/>
  <c r="G163" i="49"/>
  <c r="F163" i="49"/>
  <c r="E163" i="49"/>
  <c r="D163" i="49"/>
  <c r="C163" i="49"/>
  <c r="T162" i="49"/>
  <c r="T161" i="49"/>
  <c r="R161" i="49"/>
  <c r="Q161" i="49"/>
  <c r="P161" i="49"/>
  <c r="O161" i="49"/>
  <c r="N161" i="49"/>
  <c r="M161" i="49"/>
  <c r="L161" i="49"/>
  <c r="K161" i="49"/>
  <c r="J161" i="49"/>
  <c r="I161" i="49"/>
  <c r="H161" i="49"/>
  <c r="G161" i="49"/>
  <c r="F161" i="49"/>
  <c r="E161" i="49"/>
  <c r="D161" i="49"/>
  <c r="C161" i="49"/>
  <c r="T159" i="49"/>
  <c r="T158" i="49"/>
  <c r="R158" i="49"/>
  <c r="Q158" i="49"/>
  <c r="P158" i="49"/>
  <c r="O158" i="49"/>
  <c r="N158" i="49"/>
  <c r="M158" i="49"/>
  <c r="L158" i="49"/>
  <c r="K158" i="49"/>
  <c r="J158" i="49"/>
  <c r="I158" i="49"/>
  <c r="H158" i="49"/>
  <c r="G158" i="49"/>
  <c r="F158" i="49"/>
  <c r="E158" i="49"/>
  <c r="D158" i="49"/>
  <c r="C158" i="49"/>
  <c r="T156" i="49"/>
  <c r="R156" i="49"/>
  <c r="Q156" i="49"/>
  <c r="P156" i="49"/>
  <c r="O156" i="49"/>
  <c r="N156" i="49"/>
  <c r="M156" i="49"/>
  <c r="L156" i="49"/>
  <c r="K156" i="49"/>
  <c r="J156" i="49"/>
  <c r="I156" i="49"/>
  <c r="H156" i="49"/>
  <c r="G156" i="49"/>
  <c r="F156" i="49"/>
  <c r="E156" i="49"/>
  <c r="D156" i="49"/>
  <c r="C156" i="49"/>
  <c r="T155" i="49"/>
  <c r="T154" i="49"/>
  <c r="T152" i="49"/>
  <c r="T151" i="49"/>
  <c r="T149" i="49"/>
  <c r="T148" i="49"/>
  <c r="T145" i="49"/>
  <c r="R145" i="49"/>
  <c r="Q145" i="49"/>
  <c r="P145" i="49"/>
  <c r="O145" i="49"/>
  <c r="N145" i="49"/>
  <c r="M145" i="49"/>
  <c r="L145" i="49"/>
  <c r="K145" i="49"/>
  <c r="J145" i="49"/>
  <c r="I145" i="49"/>
  <c r="H145" i="49"/>
  <c r="G145" i="49"/>
  <c r="F145" i="49"/>
  <c r="E145" i="49"/>
  <c r="D145" i="49"/>
  <c r="C145" i="49"/>
  <c r="T143" i="49"/>
  <c r="T142" i="49"/>
  <c r="R142" i="49"/>
  <c r="Q142" i="49"/>
  <c r="P142" i="49"/>
  <c r="O142" i="49"/>
  <c r="N142" i="49"/>
  <c r="M142" i="49"/>
  <c r="L142" i="49"/>
  <c r="K142" i="49"/>
  <c r="J142" i="49"/>
  <c r="I142" i="49"/>
  <c r="H142" i="49"/>
  <c r="G142" i="49"/>
  <c r="F142" i="49"/>
  <c r="E142" i="49"/>
  <c r="D142" i="49"/>
  <c r="C142" i="49"/>
  <c r="T141" i="49"/>
  <c r="T140" i="49"/>
  <c r="R140" i="49"/>
  <c r="Q140" i="49"/>
  <c r="P140" i="49"/>
  <c r="O140" i="49"/>
  <c r="N140" i="49"/>
  <c r="M140" i="49"/>
  <c r="L140" i="49"/>
  <c r="K140" i="49"/>
  <c r="J140" i="49"/>
  <c r="I140" i="49"/>
  <c r="H140" i="49"/>
  <c r="G140" i="49"/>
  <c r="F140" i="49"/>
  <c r="E140" i="49"/>
  <c r="D140" i="49"/>
  <c r="C140" i="49"/>
  <c r="T138" i="49"/>
  <c r="T137" i="49"/>
  <c r="R137" i="49"/>
  <c r="Q137" i="49"/>
  <c r="P137" i="49"/>
  <c r="O137" i="49"/>
  <c r="N137" i="49"/>
  <c r="M137" i="49"/>
  <c r="L137" i="49"/>
  <c r="K137" i="49"/>
  <c r="J137" i="49"/>
  <c r="I137" i="49"/>
  <c r="H137" i="49"/>
  <c r="G137" i="49"/>
  <c r="F137" i="49"/>
  <c r="E137" i="49"/>
  <c r="D137" i="49"/>
  <c r="C137" i="49"/>
  <c r="T135" i="49"/>
  <c r="R135" i="49"/>
  <c r="Q135" i="49"/>
  <c r="P135" i="49"/>
  <c r="O135" i="49"/>
  <c r="N135" i="49"/>
  <c r="M135" i="49"/>
  <c r="L135" i="49"/>
  <c r="K135" i="49"/>
  <c r="J135" i="49"/>
  <c r="I135" i="49"/>
  <c r="H135" i="49"/>
  <c r="G135" i="49"/>
  <c r="F135" i="49"/>
  <c r="E135" i="49"/>
  <c r="D135" i="49"/>
  <c r="C135" i="49"/>
  <c r="T134" i="49"/>
  <c r="T133" i="49"/>
  <c r="T131" i="49"/>
  <c r="T130" i="49"/>
  <c r="R129" i="49"/>
  <c r="Q129" i="49"/>
  <c r="P129" i="49"/>
  <c r="O129" i="49"/>
  <c r="N129" i="49"/>
  <c r="M129" i="49"/>
  <c r="L129" i="49"/>
  <c r="K129" i="49"/>
  <c r="J129" i="49"/>
  <c r="I129" i="49"/>
  <c r="H129" i="49"/>
  <c r="G129" i="49"/>
  <c r="F129" i="49"/>
  <c r="E129" i="49"/>
  <c r="D129" i="49"/>
  <c r="C129" i="49"/>
  <c r="T128" i="49"/>
  <c r="T127" i="49"/>
  <c r="U126" i="49"/>
  <c r="R124" i="49"/>
  <c r="Q124" i="49"/>
  <c r="P124" i="49"/>
  <c r="O124" i="49"/>
  <c r="N124" i="49"/>
  <c r="M124" i="49"/>
  <c r="L124" i="49"/>
  <c r="K124" i="49"/>
  <c r="J124" i="49"/>
  <c r="I124" i="49"/>
  <c r="H124" i="49"/>
  <c r="G124" i="49"/>
  <c r="F124" i="49"/>
  <c r="E124" i="49"/>
  <c r="D124" i="49"/>
  <c r="C124" i="49"/>
  <c r="T122" i="49"/>
  <c r="T121" i="49"/>
  <c r="R121" i="49"/>
  <c r="Q121" i="49"/>
  <c r="P121" i="49"/>
  <c r="O121" i="49"/>
  <c r="N121" i="49"/>
  <c r="M121" i="49"/>
  <c r="L121" i="49"/>
  <c r="K121" i="49"/>
  <c r="J121" i="49"/>
  <c r="I121" i="49"/>
  <c r="H121" i="49"/>
  <c r="G121" i="49"/>
  <c r="F121" i="49"/>
  <c r="E121" i="49"/>
  <c r="D121" i="49"/>
  <c r="C121" i="49"/>
  <c r="T120" i="49"/>
  <c r="T119" i="49"/>
  <c r="T117" i="49"/>
  <c r="T116" i="49"/>
  <c r="R116" i="49"/>
  <c r="Q116" i="49"/>
  <c r="P116" i="49"/>
  <c r="O116" i="49"/>
  <c r="N116" i="49"/>
  <c r="M116" i="49"/>
  <c r="L116" i="49"/>
  <c r="K116" i="49"/>
  <c r="J116" i="49"/>
  <c r="I116" i="49"/>
  <c r="H116" i="49"/>
  <c r="G116" i="49"/>
  <c r="F116" i="49"/>
  <c r="E116" i="49"/>
  <c r="D116" i="49"/>
  <c r="C116" i="49"/>
  <c r="T114" i="49"/>
  <c r="T113" i="49"/>
  <c r="T112" i="49"/>
  <c r="R111" i="49"/>
  <c r="Q111" i="49"/>
  <c r="P111" i="49"/>
  <c r="O111" i="49"/>
  <c r="N111" i="49"/>
  <c r="M111" i="49"/>
  <c r="L111" i="49"/>
  <c r="K111" i="49"/>
  <c r="J111" i="49"/>
  <c r="I111" i="49"/>
  <c r="H111" i="49"/>
  <c r="G111" i="49"/>
  <c r="F111" i="49"/>
  <c r="E111" i="49"/>
  <c r="D111" i="49"/>
  <c r="C111" i="49"/>
  <c r="T110" i="49"/>
  <c r="T109" i="49"/>
  <c r="T107" i="49"/>
  <c r="T106" i="49"/>
  <c r="R106" i="49"/>
  <c r="R114" i="49" s="1"/>
  <c r="J106" i="49"/>
  <c r="J114" i="49" s="1"/>
  <c r="U105" i="49"/>
  <c r="T103" i="49"/>
  <c r="M103" i="49"/>
  <c r="E103" i="49"/>
  <c r="T101" i="49"/>
  <c r="T100" i="49"/>
  <c r="R100" i="49"/>
  <c r="Q100" i="49"/>
  <c r="P100" i="49"/>
  <c r="O100" i="49"/>
  <c r="N100" i="49"/>
  <c r="M100" i="49"/>
  <c r="L100" i="49"/>
  <c r="K100" i="49"/>
  <c r="J100" i="49"/>
  <c r="I100" i="49"/>
  <c r="H100" i="49"/>
  <c r="G100" i="49"/>
  <c r="F100" i="49"/>
  <c r="E100" i="49"/>
  <c r="D100" i="49"/>
  <c r="C100" i="49"/>
  <c r="T99" i="49"/>
  <c r="T98" i="49"/>
  <c r="R98" i="49"/>
  <c r="R103" i="49" s="1"/>
  <c r="Q98" i="49"/>
  <c r="P98" i="49"/>
  <c r="P103" i="49" s="1"/>
  <c r="O98" i="49"/>
  <c r="O103" i="49" s="1"/>
  <c r="N98" i="49"/>
  <c r="M98" i="49"/>
  <c r="L98" i="49"/>
  <c r="L103" i="49" s="1"/>
  <c r="K98" i="49"/>
  <c r="J98" i="49"/>
  <c r="J103" i="49" s="1"/>
  <c r="I98" i="49"/>
  <c r="H98" i="49"/>
  <c r="G98" i="49"/>
  <c r="G103" i="49" s="1"/>
  <c r="F98" i="49"/>
  <c r="F103" i="49" s="1"/>
  <c r="E98" i="49"/>
  <c r="D98" i="49"/>
  <c r="C98" i="49"/>
  <c r="Q106" i="49"/>
  <c r="Q114" i="49" s="1"/>
  <c r="P106" i="49"/>
  <c r="P114" i="49" s="1"/>
  <c r="O106" i="49"/>
  <c r="O114" i="49" s="1"/>
  <c r="G106" i="49"/>
  <c r="G114" i="49" s="1"/>
  <c r="D106" i="49"/>
  <c r="D114" i="49" s="1"/>
  <c r="T96" i="49"/>
  <c r="T95" i="49"/>
  <c r="R95" i="49"/>
  <c r="Q95" i="49"/>
  <c r="P95" i="49"/>
  <c r="O95" i="49"/>
  <c r="N95" i="49"/>
  <c r="M95" i="49"/>
  <c r="L95" i="49"/>
  <c r="K95" i="49"/>
  <c r="J95" i="49"/>
  <c r="I95" i="49"/>
  <c r="H95" i="49"/>
  <c r="G95" i="49"/>
  <c r="F95" i="49"/>
  <c r="E95" i="49"/>
  <c r="D95" i="49"/>
  <c r="C95" i="49"/>
  <c r="T93" i="49"/>
  <c r="R93" i="49"/>
  <c r="Q93" i="49"/>
  <c r="P93" i="49"/>
  <c r="O93" i="49"/>
  <c r="N93" i="49"/>
  <c r="M93" i="49"/>
  <c r="L93" i="49"/>
  <c r="K93" i="49"/>
  <c r="J93" i="49"/>
  <c r="I93" i="49"/>
  <c r="H93" i="49"/>
  <c r="G93" i="49"/>
  <c r="F93" i="49"/>
  <c r="E93" i="49"/>
  <c r="D93" i="49"/>
  <c r="C93" i="49"/>
  <c r="T92" i="49"/>
  <c r="T91" i="49"/>
  <c r="T89" i="49"/>
  <c r="T88" i="49"/>
  <c r="T86" i="49"/>
  <c r="T85" i="49"/>
  <c r="R82" i="49"/>
  <c r="Q82" i="49"/>
  <c r="P82" i="49"/>
  <c r="O82" i="49"/>
  <c r="N82" i="49"/>
  <c r="M82" i="49"/>
  <c r="L82" i="49"/>
  <c r="K82" i="49"/>
  <c r="J82" i="49"/>
  <c r="I82" i="49"/>
  <c r="H82" i="49"/>
  <c r="G82" i="49"/>
  <c r="F82" i="49"/>
  <c r="E82" i="49"/>
  <c r="D82" i="49"/>
  <c r="C82" i="49"/>
  <c r="T80" i="49"/>
  <c r="R80" i="49"/>
  <c r="Q80" i="49"/>
  <c r="P80" i="49"/>
  <c r="O80" i="49"/>
  <c r="N80" i="49"/>
  <c r="N106" i="49" s="1"/>
  <c r="N114" i="49" s="1"/>
  <c r="M80" i="49"/>
  <c r="M106" i="49" s="1"/>
  <c r="M114" i="49" s="1"/>
  <c r="L80" i="49"/>
  <c r="L106" i="49" s="1"/>
  <c r="L114" i="49" s="1"/>
  <c r="K80" i="49"/>
  <c r="K106" i="49" s="1"/>
  <c r="K114" i="49" s="1"/>
  <c r="J80" i="49"/>
  <c r="I80" i="49"/>
  <c r="I106" i="49" s="1"/>
  <c r="I114" i="49" s="1"/>
  <c r="H80" i="49"/>
  <c r="H106" i="49" s="1"/>
  <c r="H114" i="49" s="1"/>
  <c r="G80" i="49"/>
  <c r="F80" i="49"/>
  <c r="F106" i="49" s="1"/>
  <c r="F114" i="49" s="1"/>
  <c r="E80" i="49"/>
  <c r="E106" i="49" s="1"/>
  <c r="E114" i="49" s="1"/>
  <c r="D80" i="49"/>
  <c r="C80" i="49"/>
  <c r="C106" i="49" s="1"/>
  <c r="C114" i="49" s="1"/>
  <c r="T77" i="49"/>
  <c r="T76" i="49"/>
  <c r="R76" i="49"/>
  <c r="Q76" i="49"/>
  <c r="P76" i="49"/>
  <c r="O76" i="49"/>
  <c r="N76" i="49"/>
  <c r="M76" i="49"/>
  <c r="L76" i="49"/>
  <c r="K76" i="49"/>
  <c r="J76" i="49"/>
  <c r="I76" i="49"/>
  <c r="H76" i="49"/>
  <c r="G76" i="49"/>
  <c r="F76" i="49"/>
  <c r="E76" i="49"/>
  <c r="D76" i="49"/>
  <c r="C76" i="49"/>
  <c r="T75" i="49"/>
  <c r="T74" i="49"/>
  <c r="R74" i="49"/>
  <c r="Q74" i="49"/>
  <c r="P74" i="49"/>
  <c r="O74" i="49"/>
  <c r="N74" i="49"/>
  <c r="M74" i="49"/>
  <c r="L74" i="49"/>
  <c r="K74" i="49"/>
  <c r="J74" i="49"/>
  <c r="I74" i="49"/>
  <c r="H74" i="49"/>
  <c r="G74" i="49"/>
  <c r="F74" i="49"/>
  <c r="E74" i="49"/>
  <c r="D74" i="49"/>
  <c r="C74" i="49"/>
  <c r="T72" i="49"/>
  <c r="T71" i="49"/>
  <c r="R71" i="49"/>
  <c r="Q71" i="49"/>
  <c r="P71" i="49"/>
  <c r="O71" i="49"/>
  <c r="N71" i="49"/>
  <c r="M71" i="49"/>
  <c r="L71" i="49"/>
  <c r="K71" i="49"/>
  <c r="J71" i="49"/>
  <c r="I71" i="49"/>
  <c r="H71" i="49"/>
  <c r="G71" i="49"/>
  <c r="F71" i="49"/>
  <c r="E71" i="49"/>
  <c r="D71" i="49"/>
  <c r="C71" i="49"/>
  <c r="T69" i="49"/>
  <c r="R69" i="49"/>
  <c r="Q69" i="49"/>
  <c r="P69" i="49"/>
  <c r="O69" i="49"/>
  <c r="N69" i="49"/>
  <c r="M69" i="49"/>
  <c r="L69" i="49"/>
  <c r="K69" i="49"/>
  <c r="J69" i="49"/>
  <c r="I69" i="49"/>
  <c r="H69" i="49"/>
  <c r="G69" i="49"/>
  <c r="F69" i="49"/>
  <c r="E69" i="49"/>
  <c r="D69" i="49"/>
  <c r="C69" i="49"/>
  <c r="T68" i="49"/>
  <c r="T67" i="49"/>
  <c r="T65" i="49"/>
  <c r="T64" i="49"/>
  <c r="T62" i="49"/>
  <c r="T61" i="49"/>
  <c r="T58" i="49"/>
  <c r="T57" i="49"/>
  <c r="R57" i="49"/>
  <c r="Q57" i="49"/>
  <c r="P57" i="49"/>
  <c r="O57" i="49"/>
  <c r="N57" i="49"/>
  <c r="M57" i="49"/>
  <c r="L57" i="49"/>
  <c r="K57" i="49"/>
  <c r="J57" i="49"/>
  <c r="I57" i="49"/>
  <c r="H57" i="49"/>
  <c r="G57" i="49"/>
  <c r="F57" i="49"/>
  <c r="E57" i="49"/>
  <c r="D57" i="49"/>
  <c r="C57" i="49"/>
  <c r="T56" i="49"/>
  <c r="T55" i="49"/>
  <c r="R55" i="49"/>
  <c r="Q55" i="49"/>
  <c r="P55" i="49"/>
  <c r="O55" i="49"/>
  <c r="N55" i="49"/>
  <c r="M55" i="49"/>
  <c r="L55" i="49"/>
  <c r="K55" i="49"/>
  <c r="J55" i="49"/>
  <c r="I55" i="49"/>
  <c r="H55" i="49"/>
  <c r="G55" i="49"/>
  <c r="F55" i="49"/>
  <c r="E55" i="49"/>
  <c r="D55" i="49"/>
  <c r="C55" i="49"/>
  <c r="T53" i="49"/>
  <c r="T52" i="49"/>
  <c r="R52" i="49"/>
  <c r="Q52" i="49"/>
  <c r="P52" i="49"/>
  <c r="O52" i="49"/>
  <c r="N52" i="49"/>
  <c r="M52" i="49"/>
  <c r="L52" i="49"/>
  <c r="K52" i="49"/>
  <c r="J52" i="49"/>
  <c r="I52" i="49"/>
  <c r="H52" i="49"/>
  <c r="G52" i="49"/>
  <c r="F52" i="49"/>
  <c r="E52" i="49"/>
  <c r="D52" i="49"/>
  <c r="C52" i="49"/>
  <c r="T50" i="49"/>
  <c r="R50" i="49"/>
  <c r="Q50" i="49"/>
  <c r="P50" i="49"/>
  <c r="O50" i="49"/>
  <c r="N50" i="49"/>
  <c r="M50" i="49"/>
  <c r="L50" i="49"/>
  <c r="K50" i="49"/>
  <c r="J50" i="49"/>
  <c r="I50" i="49"/>
  <c r="H50" i="49"/>
  <c r="G50" i="49"/>
  <c r="F50" i="49"/>
  <c r="E50" i="49"/>
  <c r="D50" i="49"/>
  <c r="C50" i="49"/>
  <c r="T49" i="49"/>
  <c r="T48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E47" i="49"/>
  <c r="D47" i="49"/>
  <c r="C47" i="49"/>
  <c r="T46" i="49"/>
  <c r="T45" i="49"/>
  <c r="R44" i="49"/>
  <c r="Q44" i="49"/>
  <c r="P44" i="49"/>
  <c r="O44" i="49"/>
  <c r="N44" i="49"/>
  <c r="M44" i="49"/>
  <c r="L44" i="49"/>
  <c r="K44" i="49"/>
  <c r="J44" i="49"/>
  <c r="I44" i="49"/>
  <c r="H44" i="49"/>
  <c r="G44" i="49"/>
  <c r="F44" i="49"/>
  <c r="E44" i="49"/>
  <c r="D44" i="49"/>
  <c r="C44" i="49"/>
  <c r="T43" i="49"/>
  <c r="T42" i="49"/>
  <c r="U41" i="49"/>
  <c r="N40" i="49"/>
  <c r="D40" i="49"/>
  <c r="M39" i="49"/>
  <c r="R38" i="49"/>
  <c r="Q38" i="49"/>
  <c r="P38" i="49"/>
  <c r="O38" i="49"/>
  <c r="N38" i="49"/>
  <c r="M38" i="49"/>
  <c r="L38" i="49"/>
  <c r="K38" i="49"/>
  <c r="J38" i="49"/>
  <c r="I38" i="49"/>
  <c r="H38" i="49"/>
  <c r="G38" i="49"/>
  <c r="F38" i="49"/>
  <c r="E38" i="49"/>
  <c r="D38" i="49"/>
  <c r="C38" i="49"/>
  <c r="R37" i="49"/>
  <c r="R39" i="49" s="1"/>
  <c r="Q37" i="49"/>
  <c r="Q39" i="49" s="1"/>
  <c r="P37" i="49"/>
  <c r="P39" i="49" s="1"/>
  <c r="O37" i="49"/>
  <c r="O39" i="49" s="1"/>
  <c r="N37" i="49"/>
  <c r="N39" i="49" s="1"/>
  <c r="M37" i="49"/>
  <c r="L37" i="49"/>
  <c r="L39" i="49" s="1"/>
  <c r="K37" i="49"/>
  <c r="K39" i="49" s="1"/>
  <c r="J37" i="49"/>
  <c r="J39" i="49" s="1"/>
  <c r="I37" i="49"/>
  <c r="H37" i="49"/>
  <c r="H39" i="49" s="1"/>
  <c r="G37" i="49"/>
  <c r="G39" i="49" s="1"/>
  <c r="F37" i="49"/>
  <c r="F39" i="49" s="1"/>
  <c r="E37" i="49"/>
  <c r="E39" i="49" s="1"/>
  <c r="D37" i="49"/>
  <c r="D39" i="49" s="1"/>
  <c r="C37" i="49"/>
  <c r="C39" i="49" s="1"/>
  <c r="T35" i="49"/>
  <c r="T34" i="49"/>
  <c r="R34" i="49"/>
  <c r="Q34" i="49"/>
  <c r="P34" i="49"/>
  <c r="O34" i="49"/>
  <c r="N34" i="49"/>
  <c r="M34" i="49"/>
  <c r="L34" i="49"/>
  <c r="K34" i="49"/>
  <c r="J34" i="49"/>
  <c r="I34" i="49"/>
  <c r="I20" i="49" s="1"/>
  <c r="H34" i="49"/>
  <c r="G34" i="49"/>
  <c r="F34" i="49"/>
  <c r="E34" i="49"/>
  <c r="D34" i="49"/>
  <c r="C34" i="49"/>
  <c r="T33" i="49"/>
  <c r="T32" i="49"/>
  <c r="R32" i="49"/>
  <c r="Q32" i="49"/>
  <c r="P32" i="49"/>
  <c r="O32" i="49"/>
  <c r="N32" i="49"/>
  <c r="M32" i="49"/>
  <c r="L32" i="49"/>
  <c r="K32" i="49"/>
  <c r="K40" i="49" s="1"/>
  <c r="J32" i="49"/>
  <c r="I32" i="49"/>
  <c r="H32" i="49"/>
  <c r="G32" i="49"/>
  <c r="F32" i="49"/>
  <c r="E32" i="49"/>
  <c r="D32" i="49"/>
  <c r="C32" i="49"/>
  <c r="C40" i="49" s="1"/>
  <c r="T30" i="49"/>
  <c r="T29" i="49"/>
  <c r="R29" i="49"/>
  <c r="R30" i="49" s="1"/>
  <c r="Q29" i="49"/>
  <c r="P29" i="49"/>
  <c r="O29" i="49"/>
  <c r="O30" i="49" s="1"/>
  <c r="O33" i="49" s="1"/>
  <c r="N29" i="49"/>
  <c r="M29" i="49"/>
  <c r="L29" i="49"/>
  <c r="K29" i="49"/>
  <c r="J29" i="49"/>
  <c r="I29" i="49"/>
  <c r="I30" i="49" s="1"/>
  <c r="I33" i="49" s="1"/>
  <c r="H29" i="49"/>
  <c r="G29" i="49"/>
  <c r="G30" i="49" s="1"/>
  <c r="F29" i="49"/>
  <c r="E29" i="49"/>
  <c r="D29" i="49"/>
  <c r="C29" i="49"/>
  <c r="T27" i="49"/>
  <c r="R27" i="49"/>
  <c r="Q27" i="49"/>
  <c r="P27" i="49"/>
  <c r="P30" i="49" s="1"/>
  <c r="O27" i="49"/>
  <c r="N27" i="49"/>
  <c r="M27" i="49"/>
  <c r="M30" i="49" s="1"/>
  <c r="L27" i="49"/>
  <c r="K27" i="49"/>
  <c r="K30" i="49" s="1"/>
  <c r="J27" i="49"/>
  <c r="J30" i="49" s="1"/>
  <c r="I27" i="49"/>
  <c r="H27" i="49"/>
  <c r="H30" i="49" s="1"/>
  <c r="G27" i="49"/>
  <c r="F27" i="49"/>
  <c r="E27" i="49"/>
  <c r="E30" i="49" s="1"/>
  <c r="D27" i="49"/>
  <c r="C27" i="49"/>
  <c r="C30" i="49" s="1"/>
  <c r="T26" i="49"/>
  <c r="T25" i="49"/>
  <c r="T23" i="49"/>
  <c r="T22" i="49"/>
  <c r="T20" i="49"/>
  <c r="T19" i="49"/>
  <c r="T18" i="49"/>
  <c r="T183" i="48"/>
  <c r="T182" i="48"/>
  <c r="R182" i="48"/>
  <c r="Q182" i="48"/>
  <c r="P182" i="48"/>
  <c r="O182" i="48"/>
  <c r="N182" i="48"/>
  <c r="M182" i="48"/>
  <c r="L182" i="48"/>
  <c r="K182" i="48"/>
  <c r="J182" i="48"/>
  <c r="I182" i="48"/>
  <c r="H182" i="48"/>
  <c r="G182" i="48"/>
  <c r="F182" i="48"/>
  <c r="E182" i="48"/>
  <c r="D182" i="48"/>
  <c r="C182" i="48"/>
  <c r="T181" i="48"/>
  <c r="T180" i="48"/>
  <c r="R180" i="48"/>
  <c r="Q180" i="48"/>
  <c r="P180" i="48"/>
  <c r="O180" i="48"/>
  <c r="N180" i="48"/>
  <c r="M180" i="48"/>
  <c r="L180" i="48"/>
  <c r="K180" i="48"/>
  <c r="J180" i="48"/>
  <c r="I180" i="48"/>
  <c r="H180" i="48"/>
  <c r="G180" i="48"/>
  <c r="F180" i="48"/>
  <c r="E180" i="48"/>
  <c r="D180" i="48"/>
  <c r="C180" i="48"/>
  <c r="T178" i="48"/>
  <c r="T177" i="48"/>
  <c r="R177" i="48"/>
  <c r="Q177" i="48"/>
  <c r="P177" i="48"/>
  <c r="O177" i="48"/>
  <c r="N177" i="48"/>
  <c r="M177" i="48"/>
  <c r="L177" i="48"/>
  <c r="K177" i="48"/>
  <c r="J177" i="48"/>
  <c r="I177" i="48"/>
  <c r="H177" i="48"/>
  <c r="G177" i="48"/>
  <c r="F177" i="48"/>
  <c r="E177" i="48"/>
  <c r="D177" i="48"/>
  <c r="C177" i="48"/>
  <c r="T175" i="48"/>
  <c r="R175" i="48"/>
  <c r="Q175" i="48"/>
  <c r="P175" i="48"/>
  <c r="O175" i="48"/>
  <c r="N175" i="48"/>
  <c r="M175" i="48"/>
  <c r="L175" i="48"/>
  <c r="K175" i="48"/>
  <c r="J175" i="48"/>
  <c r="I175" i="48"/>
  <c r="H175" i="48"/>
  <c r="G175" i="48"/>
  <c r="F175" i="48"/>
  <c r="E175" i="48"/>
  <c r="D175" i="48"/>
  <c r="C175" i="48"/>
  <c r="T174" i="48"/>
  <c r="T173" i="48"/>
  <c r="T171" i="48"/>
  <c r="T170" i="48"/>
  <c r="T168" i="48"/>
  <c r="T167" i="48"/>
  <c r="T164" i="48"/>
  <c r="T163" i="48"/>
  <c r="R163" i="48"/>
  <c r="Q163" i="48"/>
  <c r="P163" i="48"/>
  <c r="O163" i="48"/>
  <c r="N163" i="48"/>
  <c r="M163" i="48"/>
  <c r="L163" i="48"/>
  <c r="K163" i="48"/>
  <c r="J163" i="48"/>
  <c r="I163" i="48"/>
  <c r="H163" i="48"/>
  <c r="G163" i="48"/>
  <c r="F163" i="48"/>
  <c r="E163" i="48"/>
  <c r="D163" i="48"/>
  <c r="C163" i="48"/>
  <c r="T162" i="48"/>
  <c r="T161" i="48"/>
  <c r="R161" i="48"/>
  <c r="Q161" i="48"/>
  <c r="P161" i="48"/>
  <c r="O161" i="48"/>
  <c r="N161" i="48"/>
  <c r="M161" i="48"/>
  <c r="L161" i="48"/>
  <c r="K161" i="48"/>
  <c r="J161" i="48"/>
  <c r="I161" i="48"/>
  <c r="H161" i="48"/>
  <c r="G161" i="48"/>
  <c r="F161" i="48"/>
  <c r="E161" i="48"/>
  <c r="D161" i="48"/>
  <c r="C161" i="48"/>
  <c r="T159" i="48"/>
  <c r="T158" i="48"/>
  <c r="R158" i="48"/>
  <c r="Q158" i="48"/>
  <c r="P158" i="48"/>
  <c r="O158" i="48"/>
  <c r="N158" i="48"/>
  <c r="M158" i="48"/>
  <c r="L158" i="48"/>
  <c r="K158" i="48"/>
  <c r="J158" i="48"/>
  <c r="I158" i="48"/>
  <c r="H158" i="48"/>
  <c r="G158" i="48"/>
  <c r="F158" i="48"/>
  <c r="E158" i="48"/>
  <c r="D158" i="48"/>
  <c r="C158" i="48"/>
  <c r="T156" i="48"/>
  <c r="R156" i="48"/>
  <c r="Q156" i="48"/>
  <c r="P156" i="48"/>
  <c r="O156" i="48"/>
  <c r="N156" i="48"/>
  <c r="M156" i="48"/>
  <c r="L156" i="48"/>
  <c r="K156" i="48"/>
  <c r="J156" i="48"/>
  <c r="I156" i="48"/>
  <c r="H156" i="48"/>
  <c r="G156" i="48"/>
  <c r="F156" i="48"/>
  <c r="E156" i="48"/>
  <c r="D156" i="48"/>
  <c r="C156" i="48"/>
  <c r="T155" i="48"/>
  <c r="T154" i="48"/>
  <c r="T152" i="48"/>
  <c r="T151" i="48"/>
  <c r="T149" i="48"/>
  <c r="T148" i="48"/>
  <c r="T145" i="48"/>
  <c r="R145" i="48"/>
  <c r="Q145" i="48"/>
  <c r="P145" i="48"/>
  <c r="O145" i="48"/>
  <c r="N145" i="48"/>
  <c r="M145" i="48"/>
  <c r="L145" i="48"/>
  <c r="K145" i="48"/>
  <c r="J145" i="48"/>
  <c r="I145" i="48"/>
  <c r="H145" i="48"/>
  <c r="G145" i="48"/>
  <c r="F145" i="48"/>
  <c r="E145" i="48"/>
  <c r="D145" i="48"/>
  <c r="C145" i="48"/>
  <c r="T143" i="48"/>
  <c r="T142" i="48"/>
  <c r="R142" i="48"/>
  <c r="Q142" i="48"/>
  <c r="P142" i="48"/>
  <c r="O142" i="48"/>
  <c r="N142" i="48"/>
  <c r="M142" i="48"/>
  <c r="L142" i="48"/>
  <c r="K142" i="48"/>
  <c r="J142" i="48"/>
  <c r="I142" i="48"/>
  <c r="H142" i="48"/>
  <c r="G142" i="48"/>
  <c r="F142" i="48"/>
  <c r="E142" i="48"/>
  <c r="D142" i="48"/>
  <c r="C142" i="48"/>
  <c r="T141" i="48"/>
  <c r="T140" i="48"/>
  <c r="R140" i="48"/>
  <c r="Q140" i="48"/>
  <c r="P140" i="48"/>
  <c r="O140" i="48"/>
  <c r="N140" i="48"/>
  <c r="M140" i="48"/>
  <c r="L140" i="48"/>
  <c r="K140" i="48"/>
  <c r="J140" i="48"/>
  <c r="I140" i="48"/>
  <c r="H140" i="48"/>
  <c r="G140" i="48"/>
  <c r="F140" i="48"/>
  <c r="E140" i="48"/>
  <c r="D140" i="48"/>
  <c r="C140" i="48"/>
  <c r="T138" i="48"/>
  <c r="T137" i="48"/>
  <c r="R137" i="48"/>
  <c r="Q137" i="48"/>
  <c r="P137" i="48"/>
  <c r="O137" i="48"/>
  <c r="N137" i="48"/>
  <c r="M137" i="48"/>
  <c r="L137" i="48"/>
  <c r="K137" i="48"/>
  <c r="J137" i="48"/>
  <c r="I137" i="48"/>
  <c r="H137" i="48"/>
  <c r="G137" i="48"/>
  <c r="F137" i="48"/>
  <c r="E137" i="48"/>
  <c r="D137" i="48"/>
  <c r="C137" i="48"/>
  <c r="T135" i="48"/>
  <c r="R135" i="48"/>
  <c r="Q135" i="48"/>
  <c r="P135" i="48"/>
  <c r="O135" i="48"/>
  <c r="N135" i="48"/>
  <c r="M135" i="48"/>
  <c r="L135" i="48"/>
  <c r="K135" i="48"/>
  <c r="J135" i="48"/>
  <c r="I135" i="48"/>
  <c r="H135" i="48"/>
  <c r="G135" i="48"/>
  <c r="F135" i="48"/>
  <c r="E135" i="48"/>
  <c r="D135" i="48"/>
  <c r="C135" i="48"/>
  <c r="T134" i="48"/>
  <c r="T133" i="48"/>
  <c r="T131" i="48"/>
  <c r="T130" i="48"/>
  <c r="R129" i="48"/>
  <c r="Q129" i="48"/>
  <c r="P129" i="48"/>
  <c r="O129" i="48"/>
  <c r="N129" i="48"/>
  <c r="M129" i="48"/>
  <c r="L129" i="48"/>
  <c r="K129" i="48"/>
  <c r="J129" i="48"/>
  <c r="I129" i="48"/>
  <c r="H129" i="48"/>
  <c r="G129" i="48"/>
  <c r="F129" i="48"/>
  <c r="E129" i="48"/>
  <c r="D129" i="48"/>
  <c r="C129" i="48"/>
  <c r="T128" i="48"/>
  <c r="T127" i="48"/>
  <c r="R124" i="48"/>
  <c r="Q124" i="48"/>
  <c r="P124" i="48"/>
  <c r="O124" i="48"/>
  <c r="N124" i="48"/>
  <c r="M124" i="48"/>
  <c r="L124" i="48"/>
  <c r="K124" i="48"/>
  <c r="J124" i="48"/>
  <c r="I124" i="48"/>
  <c r="H124" i="48"/>
  <c r="G124" i="48"/>
  <c r="F124" i="48"/>
  <c r="E124" i="48"/>
  <c r="D124" i="48"/>
  <c r="C124" i="48"/>
  <c r="T122" i="48"/>
  <c r="T121" i="48"/>
  <c r="R121" i="48"/>
  <c r="Q121" i="48"/>
  <c r="P121" i="48"/>
  <c r="O121" i="48"/>
  <c r="N121" i="48"/>
  <c r="M121" i="48"/>
  <c r="L121" i="48"/>
  <c r="K121" i="48"/>
  <c r="J121" i="48"/>
  <c r="I121" i="48"/>
  <c r="H121" i="48"/>
  <c r="G121" i="48"/>
  <c r="F121" i="48"/>
  <c r="E121" i="48"/>
  <c r="D121" i="48"/>
  <c r="C121" i="48"/>
  <c r="T120" i="48"/>
  <c r="T119" i="48"/>
  <c r="T117" i="48"/>
  <c r="T116" i="48"/>
  <c r="R116" i="48"/>
  <c r="Q116" i="48"/>
  <c r="P116" i="48"/>
  <c r="O116" i="48"/>
  <c r="N116" i="48"/>
  <c r="M116" i="48"/>
  <c r="L116" i="48"/>
  <c r="K116" i="48"/>
  <c r="J116" i="48"/>
  <c r="I116" i="48"/>
  <c r="H116" i="48"/>
  <c r="G116" i="48"/>
  <c r="F116" i="48"/>
  <c r="E116" i="48"/>
  <c r="D116" i="48"/>
  <c r="C116" i="48"/>
  <c r="T114" i="48"/>
  <c r="L114" i="48"/>
  <c r="G114" i="48"/>
  <c r="F114" i="48"/>
  <c r="E114" i="48"/>
  <c r="T113" i="48"/>
  <c r="T112" i="48"/>
  <c r="R111" i="48"/>
  <c r="Q111" i="48"/>
  <c r="P111" i="48"/>
  <c r="O111" i="48"/>
  <c r="N111" i="48"/>
  <c r="M111" i="48"/>
  <c r="L111" i="48"/>
  <c r="K111" i="48"/>
  <c r="J111" i="48"/>
  <c r="I111" i="48"/>
  <c r="H111" i="48"/>
  <c r="G111" i="48"/>
  <c r="F111" i="48"/>
  <c r="E111" i="48"/>
  <c r="D111" i="48"/>
  <c r="C111" i="48"/>
  <c r="T110" i="48"/>
  <c r="T109" i="48"/>
  <c r="T107" i="48"/>
  <c r="T106" i="48"/>
  <c r="D114" i="48"/>
  <c r="C114" i="48"/>
  <c r="U105" i="48"/>
  <c r="T103" i="48"/>
  <c r="P103" i="48"/>
  <c r="O103" i="48"/>
  <c r="N103" i="48"/>
  <c r="M103" i="48"/>
  <c r="H103" i="48"/>
  <c r="T101" i="48"/>
  <c r="T100" i="48"/>
  <c r="R100" i="48"/>
  <c r="Q100" i="48"/>
  <c r="P100" i="48"/>
  <c r="O100" i="48"/>
  <c r="N100" i="48"/>
  <c r="M100" i="48"/>
  <c r="L100" i="48"/>
  <c r="K100" i="48"/>
  <c r="J100" i="48"/>
  <c r="I100" i="48"/>
  <c r="H100" i="48"/>
  <c r="G100" i="48"/>
  <c r="F100" i="48"/>
  <c r="E100" i="48"/>
  <c r="D100" i="48"/>
  <c r="C100" i="48"/>
  <c r="T99" i="48"/>
  <c r="T98" i="48"/>
  <c r="R98" i="48"/>
  <c r="R103" i="48" s="1"/>
  <c r="Q98" i="48"/>
  <c r="Q103" i="48" s="1"/>
  <c r="P98" i="48"/>
  <c r="O98" i="48"/>
  <c r="N98" i="48"/>
  <c r="M98" i="48"/>
  <c r="L98" i="48"/>
  <c r="K98" i="48"/>
  <c r="K103" i="48" s="1"/>
  <c r="J98" i="48"/>
  <c r="I98" i="48"/>
  <c r="H98" i="48"/>
  <c r="G98" i="48"/>
  <c r="G103" i="48" s="1"/>
  <c r="F98" i="48"/>
  <c r="F103" i="48" s="1"/>
  <c r="E98" i="48"/>
  <c r="E103" i="48" s="1"/>
  <c r="D98" i="48"/>
  <c r="C98" i="48"/>
  <c r="P114" i="48"/>
  <c r="O114" i="48"/>
  <c r="T96" i="48"/>
  <c r="T95" i="48"/>
  <c r="R95" i="48"/>
  <c r="Q95" i="48"/>
  <c r="P95" i="48"/>
  <c r="O95" i="48"/>
  <c r="N95" i="48"/>
  <c r="M95" i="48"/>
  <c r="L95" i="48"/>
  <c r="K95" i="48"/>
  <c r="J95" i="48"/>
  <c r="I95" i="48"/>
  <c r="H95" i="48"/>
  <c r="G95" i="48"/>
  <c r="F95" i="48"/>
  <c r="E95" i="48"/>
  <c r="D95" i="48"/>
  <c r="C95" i="48"/>
  <c r="T93" i="48"/>
  <c r="R93" i="48"/>
  <c r="Q93" i="48"/>
  <c r="P93" i="48"/>
  <c r="O93" i="48"/>
  <c r="N93" i="48"/>
  <c r="M93" i="48"/>
  <c r="L93" i="48"/>
  <c r="K93" i="48"/>
  <c r="J93" i="48"/>
  <c r="I93" i="48"/>
  <c r="H93" i="48"/>
  <c r="G93" i="48"/>
  <c r="F93" i="48"/>
  <c r="E93" i="48"/>
  <c r="D93" i="48"/>
  <c r="C93" i="48"/>
  <c r="T92" i="48"/>
  <c r="T91" i="48"/>
  <c r="T89" i="48"/>
  <c r="T88" i="48"/>
  <c r="T86" i="48"/>
  <c r="T85" i="48"/>
  <c r="R82" i="48"/>
  <c r="Q82" i="48"/>
  <c r="P82" i="48"/>
  <c r="O82" i="48"/>
  <c r="N82" i="48"/>
  <c r="M82" i="48"/>
  <c r="L82" i="48"/>
  <c r="K82" i="48"/>
  <c r="J82" i="48"/>
  <c r="I82" i="48"/>
  <c r="H82" i="48"/>
  <c r="G82" i="48"/>
  <c r="F82" i="48"/>
  <c r="E82" i="48"/>
  <c r="D82" i="48"/>
  <c r="C82" i="48"/>
  <c r="T80" i="48"/>
  <c r="R80" i="48"/>
  <c r="R114" i="48" s="1"/>
  <c r="Q80" i="48"/>
  <c r="Q114" i="48" s="1"/>
  <c r="P80" i="48"/>
  <c r="O80" i="48"/>
  <c r="N80" i="48"/>
  <c r="N114" i="48" s="1"/>
  <c r="M80" i="48"/>
  <c r="M114" i="48" s="1"/>
  <c r="L80" i="48"/>
  <c r="K80" i="48"/>
  <c r="K114" i="48" s="1"/>
  <c r="J80" i="48"/>
  <c r="J114" i="48" s="1"/>
  <c r="I80" i="48"/>
  <c r="I114" i="48" s="1"/>
  <c r="H80" i="48"/>
  <c r="H114" i="48" s="1"/>
  <c r="G80" i="48"/>
  <c r="F80" i="48"/>
  <c r="E80" i="48"/>
  <c r="D80" i="48"/>
  <c r="C80" i="48"/>
  <c r="T77" i="48"/>
  <c r="T76" i="48"/>
  <c r="R76" i="48"/>
  <c r="Q76" i="48"/>
  <c r="P76" i="48"/>
  <c r="O76" i="48"/>
  <c r="N76" i="48"/>
  <c r="M76" i="48"/>
  <c r="L76" i="48"/>
  <c r="K76" i="48"/>
  <c r="J76" i="48"/>
  <c r="I76" i="48"/>
  <c r="H76" i="48"/>
  <c r="G76" i="48"/>
  <c r="F76" i="48"/>
  <c r="E76" i="48"/>
  <c r="D76" i="48"/>
  <c r="C76" i="48"/>
  <c r="T75" i="48"/>
  <c r="T74" i="48"/>
  <c r="R74" i="48"/>
  <c r="Q74" i="48"/>
  <c r="P74" i="48"/>
  <c r="O74" i="48"/>
  <c r="N74" i="48"/>
  <c r="M74" i="48"/>
  <c r="L74" i="48"/>
  <c r="K74" i="48"/>
  <c r="J74" i="48"/>
  <c r="I74" i="48"/>
  <c r="H74" i="48"/>
  <c r="G74" i="48"/>
  <c r="F74" i="48"/>
  <c r="E74" i="48"/>
  <c r="D74" i="48"/>
  <c r="C74" i="48"/>
  <c r="T72" i="48"/>
  <c r="T71" i="48"/>
  <c r="R71" i="48"/>
  <c r="Q71" i="48"/>
  <c r="P71" i="48"/>
  <c r="O71" i="48"/>
  <c r="N71" i="48"/>
  <c r="M71" i="48"/>
  <c r="L71" i="48"/>
  <c r="K71" i="48"/>
  <c r="J71" i="48"/>
  <c r="I71" i="48"/>
  <c r="H71" i="48"/>
  <c r="G71" i="48"/>
  <c r="F71" i="48"/>
  <c r="E71" i="48"/>
  <c r="D71" i="48"/>
  <c r="C71" i="48"/>
  <c r="T69" i="48"/>
  <c r="R69" i="48"/>
  <c r="Q69" i="48"/>
  <c r="P69" i="48"/>
  <c r="O69" i="48"/>
  <c r="N69" i="48"/>
  <c r="M69" i="48"/>
  <c r="L69" i="48"/>
  <c r="K69" i="48"/>
  <c r="J69" i="48"/>
  <c r="I69" i="48"/>
  <c r="H69" i="48"/>
  <c r="G69" i="48"/>
  <c r="F69" i="48"/>
  <c r="E69" i="48"/>
  <c r="D69" i="48"/>
  <c r="C69" i="48"/>
  <c r="T68" i="48"/>
  <c r="T67" i="48"/>
  <c r="T65" i="48"/>
  <c r="T64" i="48"/>
  <c r="T62" i="48"/>
  <c r="T61" i="48"/>
  <c r="T58" i="48"/>
  <c r="T57" i="48"/>
  <c r="R57" i="48"/>
  <c r="Q57" i="48"/>
  <c r="P57" i="48"/>
  <c r="O57" i="48"/>
  <c r="N57" i="48"/>
  <c r="M57" i="48"/>
  <c r="L57" i="48"/>
  <c r="K57" i="48"/>
  <c r="J57" i="48"/>
  <c r="I57" i="48"/>
  <c r="H57" i="48"/>
  <c r="G57" i="48"/>
  <c r="F57" i="48"/>
  <c r="E57" i="48"/>
  <c r="D57" i="48"/>
  <c r="C57" i="48"/>
  <c r="T56" i="48"/>
  <c r="T55" i="48"/>
  <c r="R55" i="48"/>
  <c r="Q55" i="48"/>
  <c r="P55" i="48"/>
  <c r="O55" i="48"/>
  <c r="N55" i="48"/>
  <c r="M55" i="48"/>
  <c r="L55" i="48"/>
  <c r="K55" i="48"/>
  <c r="J55" i="48"/>
  <c r="I55" i="48"/>
  <c r="H55" i="48"/>
  <c r="G55" i="48"/>
  <c r="F55" i="48"/>
  <c r="E55" i="48"/>
  <c r="D55" i="48"/>
  <c r="C55" i="48"/>
  <c r="T53" i="48"/>
  <c r="T52" i="48"/>
  <c r="R52" i="48"/>
  <c r="Q52" i="48"/>
  <c r="P52" i="48"/>
  <c r="O52" i="48"/>
  <c r="N52" i="48"/>
  <c r="M52" i="48"/>
  <c r="L52" i="48"/>
  <c r="K52" i="48"/>
  <c r="J52" i="48"/>
  <c r="I52" i="48"/>
  <c r="H52" i="48"/>
  <c r="G52" i="48"/>
  <c r="F52" i="48"/>
  <c r="E52" i="48"/>
  <c r="D52" i="48"/>
  <c r="C52" i="48"/>
  <c r="T50" i="48"/>
  <c r="R50" i="48"/>
  <c r="Q50" i="48"/>
  <c r="P50" i="48"/>
  <c r="O50" i="48"/>
  <c r="N50" i="48"/>
  <c r="M50" i="48"/>
  <c r="L50" i="48"/>
  <c r="K50" i="48"/>
  <c r="J50" i="48"/>
  <c r="I50" i="48"/>
  <c r="H50" i="48"/>
  <c r="G50" i="48"/>
  <c r="F50" i="48"/>
  <c r="E50" i="48"/>
  <c r="D50" i="48"/>
  <c r="C50" i="48"/>
  <c r="T49" i="48"/>
  <c r="T48" i="48"/>
  <c r="R47" i="48"/>
  <c r="Q47" i="48"/>
  <c r="P47" i="48"/>
  <c r="O47" i="48"/>
  <c r="N47" i="48"/>
  <c r="M47" i="48"/>
  <c r="L47" i="48"/>
  <c r="K47" i="48"/>
  <c r="J47" i="48"/>
  <c r="I47" i="48"/>
  <c r="H47" i="48"/>
  <c r="G47" i="48"/>
  <c r="F47" i="48"/>
  <c r="E47" i="48"/>
  <c r="D47" i="48"/>
  <c r="C47" i="48"/>
  <c r="T46" i="48"/>
  <c r="T45" i="48"/>
  <c r="R44" i="48"/>
  <c r="Q44" i="48"/>
  <c r="P44" i="48"/>
  <c r="O44" i="48"/>
  <c r="N44" i="48"/>
  <c r="M44" i="48"/>
  <c r="L44" i="48"/>
  <c r="K44" i="48"/>
  <c r="J44" i="48"/>
  <c r="I44" i="48"/>
  <c r="H44" i="48"/>
  <c r="G44" i="48"/>
  <c r="F44" i="48"/>
  <c r="E44" i="48"/>
  <c r="D44" i="48"/>
  <c r="C44" i="48"/>
  <c r="T43" i="48"/>
  <c r="T42" i="48"/>
  <c r="U41" i="48"/>
  <c r="M40" i="48"/>
  <c r="P39" i="48"/>
  <c r="H39" i="48"/>
  <c r="G39" i="48"/>
  <c r="F39" i="48"/>
  <c r="R38" i="48"/>
  <c r="Q38" i="48"/>
  <c r="P38" i="48"/>
  <c r="O38" i="48"/>
  <c r="N38" i="48"/>
  <c r="M38" i="48"/>
  <c r="L38" i="48"/>
  <c r="K38" i="48"/>
  <c r="J38" i="48"/>
  <c r="I38" i="48"/>
  <c r="H38" i="48"/>
  <c r="G38" i="48"/>
  <c r="F38" i="48"/>
  <c r="E38" i="48"/>
  <c r="D38" i="48"/>
  <c r="C38" i="48"/>
  <c r="R37" i="48"/>
  <c r="R39" i="48" s="1"/>
  <c r="Q37" i="48"/>
  <c r="Q39" i="48" s="1"/>
  <c r="P37" i="48"/>
  <c r="O37" i="48"/>
  <c r="O39" i="48" s="1"/>
  <c r="N37" i="48"/>
  <c r="N39" i="48" s="1"/>
  <c r="M37" i="48"/>
  <c r="L37" i="48"/>
  <c r="L39" i="48" s="1"/>
  <c r="K37" i="48"/>
  <c r="K39" i="48" s="1"/>
  <c r="J37" i="48"/>
  <c r="J39" i="48" s="1"/>
  <c r="I37" i="48"/>
  <c r="I39" i="48" s="1"/>
  <c r="H37" i="48"/>
  <c r="G37" i="48"/>
  <c r="F37" i="48"/>
  <c r="E37" i="48"/>
  <c r="E39" i="48" s="1"/>
  <c r="D37" i="48"/>
  <c r="D39" i="48" s="1"/>
  <c r="C37" i="48"/>
  <c r="C39" i="48" s="1"/>
  <c r="T35" i="48"/>
  <c r="T34" i="48"/>
  <c r="R34" i="48"/>
  <c r="Q34" i="48"/>
  <c r="P34" i="48"/>
  <c r="O34" i="48"/>
  <c r="N34" i="48"/>
  <c r="M34" i="48"/>
  <c r="L34" i="48"/>
  <c r="K34" i="48"/>
  <c r="J34" i="48"/>
  <c r="I34" i="48"/>
  <c r="H34" i="48"/>
  <c r="G34" i="48"/>
  <c r="F34" i="48"/>
  <c r="E34" i="48"/>
  <c r="E40" i="48" s="1"/>
  <c r="D34" i="48"/>
  <c r="C34" i="48"/>
  <c r="T33" i="48"/>
  <c r="T32" i="48"/>
  <c r="R32" i="48"/>
  <c r="R40" i="48" s="1"/>
  <c r="Q32" i="48"/>
  <c r="P32" i="48"/>
  <c r="O32" i="48"/>
  <c r="N32" i="48"/>
  <c r="N40" i="48" s="1"/>
  <c r="M32" i="48"/>
  <c r="L32" i="48"/>
  <c r="K32" i="48"/>
  <c r="K40" i="48" s="1"/>
  <c r="J32" i="48"/>
  <c r="J40" i="48" s="1"/>
  <c r="I32" i="48"/>
  <c r="H32" i="48"/>
  <c r="G32" i="48"/>
  <c r="G40" i="48" s="1"/>
  <c r="F32" i="48"/>
  <c r="F40" i="48" s="1"/>
  <c r="E32" i="48"/>
  <c r="D32" i="48"/>
  <c r="C32" i="48"/>
  <c r="C40" i="48" s="1"/>
  <c r="T30" i="48"/>
  <c r="R30" i="48"/>
  <c r="P30" i="48"/>
  <c r="H30" i="48"/>
  <c r="T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9" i="48"/>
  <c r="D30" i="48" s="1"/>
  <c r="C29" i="48"/>
  <c r="T27" i="48"/>
  <c r="R27" i="48"/>
  <c r="Q27" i="48"/>
  <c r="P27" i="48"/>
  <c r="O27" i="48"/>
  <c r="O30" i="48" s="1"/>
  <c r="N27" i="48"/>
  <c r="M27" i="48"/>
  <c r="L27" i="48"/>
  <c r="K27" i="48"/>
  <c r="J27" i="48"/>
  <c r="I27" i="48"/>
  <c r="I30" i="48" s="1"/>
  <c r="H27" i="48"/>
  <c r="G27" i="48"/>
  <c r="G30" i="48" s="1"/>
  <c r="F27" i="48"/>
  <c r="E27" i="48"/>
  <c r="D27" i="48"/>
  <c r="C27" i="48"/>
  <c r="T26" i="48"/>
  <c r="T25" i="48"/>
  <c r="T23" i="48"/>
  <c r="T22" i="48"/>
  <c r="T20" i="48"/>
  <c r="T19" i="48"/>
  <c r="T18" i="48"/>
  <c r="T183" i="47"/>
  <c r="T182" i="47"/>
  <c r="R182" i="47"/>
  <c r="Q182" i="47"/>
  <c r="P182" i="47"/>
  <c r="O182" i="47"/>
  <c r="N182" i="47"/>
  <c r="M182" i="47"/>
  <c r="L182" i="47"/>
  <c r="K182" i="47"/>
  <c r="J182" i="47"/>
  <c r="I182" i="47"/>
  <c r="H182" i="47"/>
  <c r="G182" i="47"/>
  <c r="F182" i="47"/>
  <c r="E182" i="47"/>
  <c r="D182" i="47"/>
  <c r="C182" i="47"/>
  <c r="T181" i="47"/>
  <c r="T180" i="47"/>
  <c r="R180" i="47"/>
  <c r="Q180" i="47"/>
  <c r="P180" i="47"/>
  <c r="O180" i="47"/>
  <c r="N180" i="47"/>
  <c r="M180" i="47"/>
  <c r="L180" i="47"/>
  <c r="K180" i="47"/>
  <c r="J180" i="47"/>
  <c r="I180" i="47"/>
  <c r="H180" i="47"/>
  <c r="G180" i="47"/>
  <c r="F180" i="47"/>
  <c r="E180" i="47"/>
  <c r="D180" i="47"/>
  <c r="C180" i="47"/>
  <c r="T178" i="47"/>
  <c r="T177" i="47"/>
  <c r="R177" i="47"/>
  <c r="Q177" i="47"/>
  <c r="P177" i="47"/>
  <c r="O177" i="47"/>
  <c r="N177" i="47"/>
  <c r="M177" i="47"/>
  <c r="L177" i="47"/>
  <c r="K177" i="47"/>
  <c r="J177" i="47"/>
  <c r="I177" i="47"/>
  <c r="H177" i="47"/>
  <c r="G177" i="47"/>
  <c r="F177" i="47"/>
  <c r="E177" i="47"/>
  <c r="D177" i="47"/>
  <c r="C177" i="47"/>
  <c r="T175" i="47"/>
  <c r="R175" i="47"/>
  <c r="Q175" i="47"/>
  <c r="P175" i="47"/>
  <c r="O175" i="47"/>
  <c r="N175" i="47"/>
  <c r="M175" i="47"/>
  <c r="L175" i="47"/>
  <c r="K175" i="47"/>
  <c r="J175" i="47"/>
  <c r="I175" i="47"/>
  <c r="H175" i="47"/>
  <c r="G175" i="47"/>
  <c r="F175" i="47"/>
  <c r="E175" i="47"/>
  <c r="D175" i="47"/>
  <c r="C175" i="47"/>
  <c r="T174" i="47"/>
  <c r="T173" i="47"/>
  <c r="T171" i="47"/>
  <c r="T170" i="47"/>
  <c r="T168" i="47"/>
  <c r="T167" i="47"/>
  <c r="T164" i="47"/>
  <c r="T163" i="47"/>
  <c r="R163" i="47"/>
  <c r="Q163" i="47"/>
  <c r="P163" i="47"/>
  <c r="O163" i="47"/>
  <c r="N163" i="47"/>
  <c r="M163" i="47"/>
  <c r="L163" i="47"/>
  <c r="K163" i="47"/>
  <c r="J163" i="47"/>
  <c r="I163" i="47"/>
  <c r="H163" i="47"/>
  <c r="G163" i="47"/>
  <c r="F163" i="47"/>
  <c r="E163" i="47"/>
  <c r="D163" i="47"/>
  <c r="C163" i="47"/>
  <c r="T162" i="47"/>
  <c r="T161" i="47"/>
  <c r="R161" i="47"/>
  <c r="Q161" i="47"/>
  <c r="P161" i="47"/>
  <c r="O161" i="47"/>
  <c r="N161" i="47"/>
  <c r="M161" i="47"/>
  <c r="L161" i="47"/>
  <c r="K161" i="47"/>
  <c r="J161" i="47"/>
  <c r="I161" i="47"/>
  <c r="H161" i="47"/>
  <c r="G161" i="47"/>
  <c r="F161" i="47"/>
  <c r="E161" i="47"/>
  <c r="D161" i="47"/>
  <c r="C161" i="47"/>
  <c r="T159" i="47"/>
  <c r="T158" i="47"/>
  <c r="R158" i="47"/>
  <c r="Q158" i="47"/>
  <c r="P158" i="47"/>
  <c r="O158" i="47"/>
  <c r="N158" i="47"/>
  <c r="M158" i="47"/>
  <c r="L158" i="47"/>
  <c r="K158" i="47"/>
  <c r="J158" i="47"/>
  <c r="I158" i="47"/>
  <c r="H158" i="47"/>
  <c r="G158" i="47"/>
  <c r="F158" i="47"/>
  <c r="E158" i="47"/>
  <c r="D158" i="47"/>
  <c r="C158" i="47"/>
  <c r="T156" i="47"/>
  <c r="R156" i="47"/>
  <c r="Q156" i="47"/>
  <c r="P156" i="47"/>
  <c r="O156" i="47"/>
  <c r="N156" i="47"/>
  <c r="M156" i="47"/>
  <c r="L156" i="47"/>
  <c r="K156" i="47"/>
  <c r="J156" i="47"/>
  <c r="I156" i="47"/>
  <c r="H156" i="47"/>
  <c r="G156" i="47"/>
  <c r="F156" i="47"/>
  <c r="E156" i="47"/>
  <c r="D156" i="47"/>
  <c r="C156" i="47"/>
  <c r="T155" i="47"/>
  <c r="T154" i="47"/>
  <c r="T152" i="47"/>
  <c r="T151" i="47"/>
  <c r="T149" i="47"/>
  <c r="T148" i="47"/>
  <c r="T145" i="47"/>
  <c r="R145" i="47"/>
  <c r="Q145" i="47"/>
  <c r="P145" i="47"/>
  <c r="O145" i="47"/>
  <c r="N145" i="47"/>
  <c r="M145" i="47"/>
  <c r="L145" i="47"/>
  <c r="K145" i="47"/>
  <c r="J145" i="47"/>
  <c r="I145" i="47"/>
  <c r="H145" i="47"/>
  <c r="G145" i="47"/>
  <c r="F145" i="47"/>
  <c r="E145" i="47"/>
  <c r="D145" i="47"/>
  <c r="C145" i="47"/>
  <c r="T143" i="47"/>
  <c r="T142" i="47"/>
  <c r="R142" i="47"/>
  <c r="Q142" i="47"/>
  <c r="P142" i="47"/>
  <c r="O142" i="47"/>
  <c r="N142" i="47"/>
  <c r="M142" i="47"/>
  <c r="L142" i="47"/>
  <c r="K142" i="47"/>
  <c r="J142" i="47"/>
  <c r="I142" i="47"/>
  <c r="H142" i="47"/>
  <c r="G142" i="47"/>
  <c r="F142" i="47"/>
  <c r="E142" i="47"/>
  <c r="D142" i="47"/>
  <c r="C142" i="47"/>
  <c r="T141" i="47"/>
  <c r="T140" i="47"/>
  <c r="R140" i="47"/>
  <c r="Q140" i="47"/>
  <c r="P140" i="47"/>
  <c r="O140" i="47"/>
  <c r="N140" i="47"/>
  <c r="M140" i="47"/>
  <c r="L140" i="47"/>
  <c r="K140" i="47"/>
  <c r="J140" i="47"/>
  <c r="I140" i="47"/>
  <c r="H140" i="47"/>
  <c r="G140" i="47"/>
  <c r="F140" i="47"/>
  <c r="E140" i="47"/>
  <c r="D140" i="47"/>
  <c r="C140" i="47"/>
  <c r="T138" i="47"/>
  <c r="T137" i="47"/>
  <c r="R137" i="47"/>
  <c r="Q137" i="47"/>
  <c r="P137" i="47"/>
  <c r="O137" i="47"/>
  <c r="N137" i="47"/>
  <c r="M137" i="47"/>
  <c r="L137" i="47"/>
  <c r="K137" i="47"/>
  <c r="J137" i="47"/>
  <c r="I137" i="47"/>
  <c r="H137" i="47"/>
  <c r="G137" i="47"/>
  <c r="F137" i="47"/>
  <c r="E137" i="47"/>
  <c r="D137" i="47"/>
  <c r="C137" i="47"/>
  <c r="T135" i="47"/>
  <c r="R135" i="47"/>
  <c r="Q135" i="47"/>
  <c r="P135" i="47"/>
  <c r="O135" i="47"/>
  <c r="N135" i="47"/>
  <c r="M135" i="47"/>
  <c r="L135" i="47"/>
  <c r="K135" i="47"/>
  <c r="J135" i="47"/>
  <c r="I135" i="47"/>
  <c r="H135" i="47"/>
  <c r="G135" i="47"/>
  <c r="F135" i="47"/>
  <c r="E135" i="47"/>
  <c r="D135" i="47"/>
  <c r="C135" i="47"/>
  <c r="T134" i="47"/>
  <c r="T133" i="47"/>
  <c r="T131" i="47"/>
  <c r="T130" i="47"/>
  <c r="R129" i="47"/>
  <c r="Q129" i="47"/>
  <c r="P129" i="47"/>
  <c r="O129" i="47"/>
  <c r="N129" i="47"/>
  <c r="M129" i="47"/>
  <c r="L129" i="47"/>
  <c r="K129" i="47"/>
  <c r="J129" i="47"/>
  <c r="I129" i="47"/>
  <c r="H129" i="47"/>
  <c r="G129" i="47"/>
  <c r="F129" i="47"/>
  <c r="E129" i="47"/>
  <c r="D129" i="47"/>
  <c r="C129" i="47"/>
  <c r="T128" i="47"/>
  <c r="T127" i="47"/>
  <c r="U126" i="47"/>
  <c r="R124" i="47"/>
  <c r="Q124" i="47"/>
  <c r="P124" i="47"/>
  <c r="O124" i="47"/>
  <c r="N124" i="47"/>
  <c r="M124" i="47"/>
  <c r="L124" i="47"/>
  <c r="K124" i="47"/>
  <c r="J124" i="47"/>
  <c r="I124" i="47"/>
  <c r="H124" i="47"/>
  <c r="G124" i="47"/>
  <c r="F124" i="47"/>
  <c r="E124" i="47"/>
  <c r="D124" i="47"/>
  <c r="C124" i="47"/>
  <c r="T122" i="47"/>
  <c r="T121" i="47"/>
  <c r="R121" i="47"/>
  <c r="Q121" i="47"/>
  <c r="P121" i="47"/>
  <c r="O121" i="47"/>
  <c r="N121" i="47"/>
  <c r="M121" i="47"/>
  <c r="L121" i="47"/>
  <c r="K121" i="47"/>
  <c r="J121" i="47"/>
  <c r="I121" i="47"/>
  <c r="H121" i="47"/>
  <c r="G121" i="47"/>
  <c r="F121" i="47"/>
  <c r="E121" i="47"/>
  <c r="D121" i="47"/>
  <c r="C121" i="47"/>
  <c r="T120" i="47"/>
  <c r="T119" i="47"/>
  <c r="T117" i="47"/>
  <c r="T116" i="47"/>
  <c r="R116" i="47"/>
  <c r="Q116" i="47"/>
  <c r="P116" i="47"/>
  <c r="O116" i="47"/>
  <c r="N116" i="47"/>
  <c r="M116" i="47"/>
  <c r="L116" i="47"/>
  <c r="K116" i="47"/>
  <c r="J116" i="47"/>
  <c r="I116" i="47"/>
  <c r="H116" i="47"/>
  <c r="G116" i="47"/>
  <c r="F116" i="47"/>
  <c r="E116" i="47"/>
  <c r="D116" i="47"/>
  <c r="C116" i="47"/>
  <c r="T114" i="47"/>
  <c r="P114" i="47"/>
  <c r="J114" i="47"/>
  <c r="H114" i="47"/>
  <c r="T113" i="47"/>
  <c r="T112" i="47"/>
  <c r="R111" i="47"/>
  <c r="Q111" i="47"/>
  <c r="P111" i="47"/>
  <c r="O111" i="47"/>
  <c r="N111" i="47"/>
  <c r="M111" i="47"/>
  <c r="L111" i="47"/>
  <c r="K111" i="47"/>
  <c r="J111" i="47"/>
  <c r="I111" i="47"/>
  <c r="H111" i="47"/>
  <c r="G111" i="47"/>
  <c r="F111" i="47"/>
  <c r="E111" i="47"/>
  <c r="D111" i="47"/>
  <c r="C111" i="47"/>
  <c r="T110" i="47"/>
  <c r="T109" i="47"/>
  <c r="T107" i="47"/>
  <c r="T106" i="47"/>
  <c r="R114" i="47"/>
  <c r="Q114" i="47"/>
  <c r="F114" i="47"/>
  <c r="U105" i="47"/>
  <c r="T103" i="47"/>
  <c r="Q103" i="47"/>
  <c r="C103" i="47"/>
  <c r="T101" i="47"/>
  <c r="T100" i="47"/>
  <c r="R100" i="47"/>
  <c r="Q100" i="47"/>
  <c r="P100" i="47"/>
  <c r="O100" i="47"/>
  <c r="N100" i="47"/>
  <c r="M100" i="47"/>
  <c r="L100" i="47"/>
  <c r="K100" i="47"/>
  <c r="J100" i="47"/>
  <c r="I100" i="47"/>
  <c r="H100" i="47"/>
  <c r="G100" i="47"/>
  <c r="F100" i="47"/>
  <c r="E100" i="47"/>
  <c r="D100" i="47"/>
  <c r="C100" i="47"/>
  <c r="T99" i="47"/>
  <c r="T98" i="47"/>
  <c r="R98" i="47"/>
  <c r="R103" i="47" s="1"/>
  <c r="Q98" i="47"/>
  <c r="P98" i="47"/>
  <c r="O98" i="47"/>
  <c r="N98" i="47"/>
  <c r="N103" i="47" s="1"/>
  <c r="M98" i="47"/>
  <c r="L98" i="47"/>
  <c r="L103" i="47" s="1"/>
  <c r="K98" i="47"/>
  <c r="K103" i="47" s="1"/>
  <c r="J98" i="47"/>
  <c r="J103" i="47" s="1"/>
  <c r="I98" i="47"/>
  <c r="I103" i="47" s="1"/>
  <c r="H98" i="47"/>
  <c r="H103" i="47" s="1"/>
  <c r="G98" i="47"/>
  <c r="F98" i="47"/>
  <c r="F103" i="47" s="1"/>
  <c r="E98" i="47"/>
  <c r="D98" i="47"/>
  <c r="D103" i="47" s="1"/>
  <c r="C98" i="47"/>
  <c r="M114" i="47"/>
  <c r="L114" i="47"/>
  <c r="E114" i="47"/>
  <c r="D114" i="47"/>
  <c r="T96" i="47"/>
  <c r="T95" i="47"/>
  <c r="R95" i="47"/>
  <c r="Q95" i="47"/>
  <c r="P95" i="47"/>
  <c r="O95" i="47"/>
  <c r="N95" i="47"/>
  <c r="M95" i="47"/>
  <c r="L95" i="47"/>
  <c r="K95" i="47"/>
  <c r="J95" i="47"/>
  <c r="I95" i="47"/>
  <c r="H95" i="47"/>
  <c r="G95" i="47"/>
  <c r="F95" i="47"/>
  <c r="E95" i="47"/>
  <c r="D95" i="47"/>
  <c r="C95" i="47"/>
  <c r="T93" i="47"/>
  <c r="R93" i="47"/>
  <c r="Q93" i="47"/>
  <c r="P93" i="47"/>
  <c r="O93" i="47"/>
  <c r="N93" i="47"/>
  <c r="M93" i="47"/>
  <c r="L93" i="47"/>
  <c r="K93" i="47"/>
  <c r="J93" i="47"/>
  <c r="I93" i="47"/>
  <c r="H93" i="47"/>
  <c r="G93" i="47"/>
  <c r="F93" i="47"/>
  <c r="E93" i="47"/>
  <c r="D93" i="47"/>
  <c r="C93" i="47"/>
  <c r="T92" i="47"/>
  <c r="T91" i="47"/>
  <c r="T89" i="47"/>
  <c r="T88" i="47"/>
  <c r="T86" i="47"/>
  <c r="T85" i="47"/>
  <c r="R82" i="47"/>
  <c r="Q82" i="47"/>
  <c r="P82" i="47"/>
  <c r="O82" i="47"/>
  <c r="N82" i="47"/>
  <c r="M82" i="47"/>
  <c r="L82" i="47"/>
  <c r="K82" i="47"/>
  <c r="J82" i="47"/>
  <c r="I82" i="47"/>
  <c r="H82" i="47"/>
  <c r="G82" i="47"/>
  <c r="F82" i="47"/>
  <c r="E82" i="47"/>
  <c r="D82" i="47"/>
  <c r="C82" i="47"/>
  <c r="T80" i="47"/>
  <c r="R80" i="47"/>
  <c r="Q80" i="47"/>
  <c r="P80" i="47"/>
  <c r="O80" i="47"/>
  <c r="O114" i="47" s="1"/>
  <c r="N80" i="47"/>
  <c r="N114" i="47" s="1"/>
  <c r="M80" i="47"/>
  <c r="L80" i="47"/>
  <c r="K80" i="47"/>
  <c r="K114" i="47" s="1"/>
  <c r="J80" i="47"/>
  <c r="I80" i="47"/>
  <c r="I114" i="47" s="1"/>
  <c r="H80" i="47"/>
  <c r="G80" i="47"/>
  <c r="G114" i="47" s="1"/>
  <c r="F80" i="47"/>
  <c r="E80" i="47"/>
  <c r="D80" i="47"/>
  <c r="C80" i="47"/>
  <c r="C114" i="47" s="1"/>
  <c r="T77" i="47"/>
  <c r="T76" i="47"/>
  <c r="R76" i="47"/>
  <c r="Q76" i="47"/>
  <c r="P76" i="47"/>
  <c r="O76" i="47"/>
  <c r="N76" i="47"/>
  <c r="M76" i="47"/>
  <c r="L76" i="47"/>
  <c r="K76" i="47"/>
  <c r="J76" i="47"/>
  <c r="I76" i="47"/>
  <c r="H76" i="47"/>
  <c r="G76" i="47"/>
  <c r="F76" i="47"/>
  <c r="E76" i="47"/>
  <c r="D76" i="47"/>
  <c r="C76" i="47"/>
  <c r="T75" i="47"/>
  <c r="T74" i="47"/>
  <c r="R74" i="47"/>
  <c r="Q74" i="47"/>
  <c r="P74" i="47"/>
  <c r="O74" i="47"/>
  <c r="N74" i="47"/>
  <c r="M74" i="47"/>
  <c r="L74" i="47"/>
  <c r="K74" i="47"/>
  <c r="J74" i="47"/>
  <c r="I74" i="47"/>
  <c r="H74" i="47"/>
  <c r="G74" i="47"/>
  <c r="F74" i="47"/>
  <c r="E74" i="47"/>
  <c r="D74" i="47"/>
  <c r="C74" i="47"/>
  <c r="T72" i="47"/>
  <c r="T71" i="47"/>
  <c r="R71" i="47"/>
  <c r="Q71" i="47"/>
  <c r="P71" i="47"/>
  <c r="O71" i="47"/>
  <c r="N71" i="47"/>
  <c r="M71" i="47"/>
  <c r="L71" i="47"/>
  <c r="K71" i="47"/>
  <c r="J71" i="47"/>
  <c r="I71" i="47"/>
  <c r="H71" i="47"/>
  <c r="G71" i="47"/>
  <c r="F71" i="47"/>
  <c r="E71" i="47"/>
  <c r="D71" i="47"/>
  <c r="C71" i="47"/>
  <c r="T69" i="47"/>
  <c r="R69" i="47"/>
  <c r="Q69" i="47"/>
  <c r="P69" i="47"/>
  <c r="O69" i="47"/>
  <c r="N69" i="47"/>
  <c r="M69" i="47"/>
  <c r="L69" i="47"/>
  <c r="K69" i="47"/>
  <c r="J69" i="47"/>
  <c r="I69" i="47"/>
  <c r="H69" i="47"/>
  <c r="G69" i="47"/>
  <c r="F69" i="47"/>
  <c r="E69" i="47"/>
  <c r="D69" i="47"/>
  <c r="C69" i="47"/>
  <c r="T68" i="47"/>
  <c r="T67" i="47"/>
  <c r="T65" i="47"/>
  <c r="T64" i="47"/>
  <c r="T62" i="47"/>
  <c r="T61" i="47"/>
  <c r="T58" i="47"/>
  <c r="T57" i="47"/>
  <c r="R57" i="47"/>
  <c r="Q57" i="47"/>
  <c r="P57" i="47"/>
  <c r="O57" i="47"/>
  <c r="N57" i="47"/>
  <c r="M57" i="47"/>
  <c r="L57" i="47"/>
  <c r="K57" i="47"/>
  <c r="J57" i="47"/>
  <c r="I57" i="47"/>
  <c r="H57" i="47"/>
  <c r="G57" i="47"/>
  <c r="F57" i="47"/>
  <c r="E57" i="47"/>
  <c r="D57" i="47"/>
  <c r="C57" i="47"/>
  <c r="T56" i="47"/>
  <c r="T55" i="47"/>
  <c r="R55" i="47"/>
  <c r="Q55" i="47"/>
  <c r="P55" i="47"/>
  <c r="O55" i="47"/>
  <c r="N55" i="47"/>
  <c r="M55" i="47"/>
  <c r="L55" i="47"/>
  <c r="K55" i="47"/>
  <c r="J55" i="47"/>
  <c r="I55" i="47"/>
  <c r="H55" i="47"/>
  <c r="G55" i="47"/>
  <c r="F55" i="47"/>
  <c r="E55" i="47"/>
  <c r="D55" i="47"/>
  <c r="C55" i="47"/>
  <c r="T53" i="47"/>
  <c r="T52" i="47"/>
  <c r="R52" i="47"/>
  <c r="Q52" i="47"/>
  <c r="P52" i="47"/>
  <c r="O52" i="47"/>
  <c r="N52" i="47"/>
  <c r="M52" i="47"/>
  <c r="L52" i="47"/>
  <c r="K52" i="47"/>
  <c r="J52" i="47"/>
  <c r="I52" i="47"/>
  <c r="H52" i="47"/>
  <c r="G52" i="47"/>
  <c r="F52" i="47"/>
  <c r="E52" i="47"/>
  <c r="D52" i="47"/>
  <c r="C52" i="47"/>
  <c r="T50" i="47"/>
  <c r="R50" i="47"/>
  <c r="Q50" i="47"/>
  <c r="P50" i="47"/>
  <c r="O50" i="47"/>
  <c r="N50" i="47"/>
  <c r="M50" i="47"/>
  <c r="L50" i="47"/>
  <c r="K50" i="47"/>
  <c r="J50" i="47"/>
  <c r="I50" i="47"/>
  <c r="H50" i="47"/>
  <c r="G50" i="47"/>
  <c r="F50" i="47"/>
  <c r="E50" i="47"/>
  <c r="D50" i="47"/>
  <c r="C50" i="47"/>
  <c r="T49" i="47"/>
  <c r="T48" i="47"/>
  <c r="R47" i="47"/>
  <c r="Q47" i="47"/>
  <c r="P47" i="47"/>
  <c r="O47" i="47"/>
  <c r="N47" i="47"/>
  <c r="M47" i="47"/>
  <c r="L47" i="47"/>
  <c r="K47" i="47"/>
  <c r="J47" i="47"/>
  <c r="I47" i="47"/>
  <c r="H47" i="47"/>
  <c r="G47" i="47"/>
  <c r="F47" i="47"/>
  <c r="E47" i="47"/>
  <c r="D47" i="47"/>
  <c r="C47" i="47"/>
  <c r="T46" i="47"/>
  <c r="T45" i="47"/>
  <c r="R44" i="47"/>
  <c r="Q44" i="47"/>
  <c r="P44" i="47"/>
  <c r="O44" i="47"/>
  <c r="N44" i="47"/>
  <c r="M44" i="47"/>
  <c r="L44" i="47"/>
  <c r="K44" i="47"/>
  <c r="J44" i="47"/>
  <c r="I44" i="47"/>
  <c r="H44" i="47"/>
  <c r="G44" i="47"/>
  <c r="F44" i="47"/>
  <c r="E44" i="47"/>
  <c r="D44" i="47"/>
  <c r="C44" i="47"/>
  <c r="T43" i="47"/>
  <c r="T42" i="47"/>
  <c r="U41" i="47"/>
  <c r="I40" i="47"/>
  <c r="E40" i="47"/>
  <c r="P39" i="47"/>
  <c r="H39" i="47"/>
  <c r="G39" i="47"/>
  <c r="R38" i="47"/>
  <c r="Q38" i="47"/>
  <c r="P38" i="47"/>
  <c r="O38" i="47"/>
  <c r="N38" i="47"/>
  <c r="M38" i="47"/>
  <c r="L38" i="47"/>
  <c r="K38" i="47"/>
  <c r="J38" i="47"/>
  <c r="I38" i="47"/>
  <c r="H38" i="47"/>
  <c r="G38" i="47"/>
  <c r="F38" i="47"/>
  <c r="E38" i="47"/>
  <c r="D38" i="47"/>
  <c r="C38" i="47"/>
  <c r="R37" i="47"/>
  <c r="R39" i="47" s="1"/>
  <c r="Q37" i="47"/>
  <c r="Q39" i="47" s="1"/>
  <c r="P37" i="47"/>
  <c r="O37" i="47"/>
  <c r="O39" i="47" s="1"/>
  <c r="N37" i="47"/>
  <c r="N39" i="47" s="1"/>
  <c r="M37" i="47"/>
  <c r="M39" i="47" s="1"/>
  <c r="L37" i="47"/>
  <c r="L39" i="47" s="1"/>
  <c r="K37" i="47"/>
  <c r="K39" i="47" s="1"/>
  <c r="J37" i="47"/>
  <c r="J39" i="47" s="1"/>
  <c r="I37" i="47"/>
  <c r="I39" i="47" s="1"/>
  <c r="H37" i="47"/>
  <c r="G37" i="47"/>
  <c r="F37" i="47"/>
  <c r="F39" i="47" s="1"/>
  <c r="E37" i="47"/>
  <c r="E39" i="47" s="1"/>
  <c r="D37" i="47"/>
  <c r="D39" i="47" s="1"/>
  <c r="C37" i="47"/>
  <c r="C39" i="47" s="1"/>
  <c r="T35" i="47"/>
  <c r="T34" i="47"/>
  <c r="R34" i="47"/>
  <c r="Q34" i="47"/>
  <c r="P34" i="47"/>
  <c r="O34" i="47"/>
  <c r="N34" i="47"/>
  <c r="M34" i="47"/>
  <c r="L34" i="47"/>
  <c r="K34" i="47"/>
  <c r="K40" i="47" s="1"/>
  <c r="J34" i="47"/>
  <c r="I34" i="47"/>
  <c r="H34" i="47"/>
  <c r="G34" i="47"/>
  <c r="F34" i="47"/>
  <c r="E34" i="47"/>
  <c r="D34" i="47"/>
  <c r="C34" i="47"/>
  <c r="T33" i="47"/>
  <c r="T32" i="47"/>
  <c r="R32" i="47"/>
  <c r="Q32" i="47"/>
  <c r="Q40" i="47" s="1"/>
  <c r="P32" i="47"/>
  <c r="O32" i="47"/>
  <c r="N32" i="47"/>
  <c r="N40" i="47" s="1"/>
  <c r="M32" i="47"/>
  <c r="L32" i="47"/>
  <c r="K32" i="47"/>
  <c r="J32" i="47"/>
  <c r="I32" i="47"/>
  <c r="H32" i="47"/>
  <c r="G32" i="47"/>
  <c r="F32" i="47"/>
  <c r="F40" i="47" s="1"/>
  <c r="E32" i="47"/>
  <c r="D32" i="47"/>
  <c r="C32" i="47"/>
  <c r="T30" i="47"/>
  <c r="T29" i="47"/>
  <c r="R29" i="47"/>
  <c r="Q29" i="47"/>
  <c r="P29" i="47"/>
  <c r="O29" i="47"/>
  <c r="N29" i="47"/>
  <c r="M29" i="47"/>
  <c r="L29" i="47"/>
  <c r="K29" i="47"/>
  <c r="J29" i="47"/>
  <c r="J30" i="47" s="1"/>
  <c r="J53" i="47" s="1"/>
  <c r="J56" i="47" s="1"/>
  <c r="I29" i="47"/>
  <c r="H29" i="47"/>
  <c r="G29" i="47"/>
  <c r="F29" i="47"/>
  <c r="E29" i="47"/>
  <c r="D29" i="47"/>
  <c r="D30" i="47" s="1"/>
  <c r="C29" i="47"/>
  <c r="T27" i="47"/>
  <c r="R27" i="47"/>
  <c r="Q27" i="47"/>
  <c r="P27" i="47"/>
  <c r="P30" i="47" s="1"/>
  <c r="O27" i="47"/>
  <c r="N27" i="47"/>
  <c r="M27" i="47"/>
  <c r="L27" i="47"/>
  <c r="K27" i="47"/>
  <c r="J27" i="47"/>
  <c r="I27" i="47"/>
  <c r="H27" i="47"/>
  <c r="G27" i="47"/>
  <c r="F27" i="47"/>
  <c r="E27" i="47"/>
  <c r="D27" i="47"/>
  <c r="C27" i="47"/>
  <c r="T26" i="47"/>
  <c r="T25" i="47"/>
  <c r="T23" i="47"/>
  <c r="T22" i="47"/>
  <c r="T20" i="47"/>
  <c r="T19" i="47"/>
  <c r="T18" i="47"/>
  <c r="K30" i="47" l="1"/>
  <c r="E30" i="48"/>
  <c r="E33" i="48" s="1"/>
  <c r="D33" i="49"/>
  <c r="D35" i="49" s="1"/>
  <c r="D7" i="49" s="1"/>
  <c r="D98" i="46" s="1"/>
  <c r="L33" i="49"/>
  <c r="L35" i="49" s="1"/>
  <c r="L7" i="49" s="1"/>
  <c r="L98" i="46" s="1"/>
  <c r="R53" i="49"/>
  <c r="R56" i="49" s="1"/>
  <c r="R46" i="49" s="1"/>
  <c r="D138" i="52"/>
  <c r="L30" i="47"/>
  <c r="L53" i="47" s="1"/>
  <c r="D53" i="48"/>
  <c r="M39" i="48"/>
  <c r="I39" i="49"/>
  <c r="D53" i="49"/>
  <c r="D72" i="49" s="1"/>
  <c r="D96" i="49" s="1"/>
  <c r="D117" i="49" s="1"/>
  <c r="Q68" i="52"/>
  <c r="F30" i="47"/>
  <c r="F33" i="47" s="1"/>
  <c r="J33" i="47"/>
  <c r="J35" i="47" s="1"/>
  <c r="J7" i="47" s="1"/>
  <c r="J53" i="46" s="1"/>
  <c r="G30" i="47"/>
  <c r="G53" i="47" s="1"/>
  <c r="K33" i="47"/>
  <c r="K35" i="47" s="1"/>
  <c r="K7" i="47" s="1"/>
  <c r="K53" i="46" s="1"/>
  <c r="D30" i="49"/>
  <c r="L30" i="49"/>
  <c r="L53" i="49" s="1"/>
  <c r="H40" i="49"/>
  <c r="P40" i="49"/>
  <c r="F75" i="52"/>
  <c r="F77" i="52" s="1"/>
  <c r="F9" i="52" s="1"/>
  <c r="F85" i="46" s="1"/>
  <c r="Q65" i="52"/>
  <c r="C30" i="47"/>
  <c r="C53" i="47" s="1"/>
  <c r="M30" i="48"/>
  <c r="M33" i="48" s="1"/>
  <c r="U111" i="47"/>
  <c r="E30" i="47"/>
  <c r="E33" i="47" s="1"/>
  <c r="O40" i="48"/>
  <c r="K33" i="49"/>
  <c r="N30" i="47"/>
  <c r="N33" i="47" s="1"/>
  <c r="N35" i="47" s="1"/>
  <c r="N7" i="47" s="1"/>
  <c r="N53" i="46" s="1"/>
  <c r="P40" i="48"/>
  <c r="O30" i="47"/>
  <c r="O53" i="47" s="1"/>
  <c r="O72" i="47" s="1"/>
  <c r="O75" i="47" s="1"/>
  <c r="C33" i="47"/>
  <c r="C26" i="47" s="1"/>
  <c r="D40" i="47"/>
  <c r="J30" i="48"/>
  <c r="I40" i="49"/>
  <c r="F86" i="52"/>
  <c r="Q30" i="49"/>
  <c r="M30" i="47"/>
  <c r="C33" i="49"/>
  <c r="C35" i="49" s="1"/>
  <c r="C7" i="49" s="1"/>
  <c r="C98" i="46" s="1"/>
  <c r="D53" i="47"/>
  <c r="D72" i="47" s="1"/>
  <c r="D75" i="47" s="1"/>
  <c r="D77" i="47" s="1"/>
  <c r="D9" i="47" s="1"/>
  <c r="D55" i="46" s="1"/>
  <c r="L40" i="47"/>
  <c r="D33" i="47"/>
  <c r="D35" i="47" s="1"/>
  <c r="D7" i="47" s="1"/>
  <c r="D53" i="46" s="1"/>
  <c r="R30" i="47"/>
  <c r="R33" i="47" s="1"/>
  <c r="L30" i="48"/>
  <c r="L53" i="48" s="1"/>
  <c r="C30" i="48"/>
  <c r="C53" i="48" s="1"/>
  <c r="C56" i="48" s="1"/>
  <c r="K30" i="48"/>
  <c r="K53" i="48" s="1"/>
  <c r="K72" i="48" s="1"/>
  <c r="F30" i="49"/>
  <c r="N30" i="49"/>
  <c r="F89" i="52"/>
  <c r="Q77" i="52"/>
  <c r="Q9" i="52" s="1"/>
  <c r="Q85" i="46" s="1"/>
  <c r="O120" i="52"/>
  <c r="O110" i="52" s="1"/>
  <c r="M92" i="52"/>
  <c r="U111" i="49"/>
  <c r="M141" i="52"/>
  <c r="M131" i="52" s="1"/>
  <c r="M89" i="52"/>
  <c r="M101" i="52"/>
  <c r="M10" i="52" s="1"/>
  <c r="M86" i="46" s="1"/>
  <c r="F138" i="52"/>
  <c r="F141" i="52" s="1"/>
  <c r="F68" i="52"/>
  <c r="F65" i="52"/>
  <c r="K53" i="47"/>
  <c r="K72" i="47" s="1"/>
  <c r="K96" i="47" s="1"/>
  <c r="K99" i="47" s="1"/>
  <c r="K101" i="47" s="1"/>
  <c r="K10" i="47" s="1"/>
  <c r="K56" i="46" s="1"/>
  <c r="G138" i="52"/>
  <c r="G159" i="52" s="1"/>
  <c r="F62" i="52"/>
  <c r="H117" i="52"/>
  <c r="H120" i="52" s="1"/>
  <c r="D113" i="52"/>
  <c r="D122" i="52"/>
  <c r="D11" i="52" s="1"/>
  <c r="D87" i="46" s="1"/>
  <c r="D107" i="52"/>
  <c r="D110" i="52"/>
  <c r="J49" i="52"/>
  <c r="J43" i="52"/>
  <c r="J46" i="52"/>
  <c r="J58" i="52"/>
  <c r="J8" i="52" s="1"/>
  <c r="J84" i="46" s="1"/>
  <c r="I77" i="52"/>
  <c r="I9" i="52" s="1"/>
  <c r="I85" i="46" s="1"/>
  <c r="I62" i="52"/>
  <c r="I65" i="52"/>
  <c r="I68" i="52"/>
  <c r="N77" i="52"/>
  <c r="N9" i="52" s="1"/>
  <c r="N85" i="46" s="1"/>
  <c r="N65" i="52"/>
  <c r="N62" i="52"/>
  <c r="N68" i="52"/>
  <c r="R138" i="52"/>
  <c r="R120" i="52"/>
  <c r="K77" i="52"/>
  <c r="K9" i="52" s="1"/>
  <c r="K85" i="46" s="1"/>
  <c r="K65" i="52"/>
  <c r="K62" i="52"/>
  <c r="K68" i="52"/>
  <c r="C77" i="52"/>
  <c r="C9" i="52" s="1"/>
  <c r="C85" i="46" s="1"/>
  <c r="C62" i="52"/>
  <c r="C68" i="52"/>
  <c r="C65" i="52"/>
  <c r="Q159" i="52"/>
  <c r="Q141" i="52"/>
  <c r="I99" i="52"/>
  <c r="I117" i="52"/>
  <c r="M178" i="52"/>
  <c r="M181" i="52" s="1"/>
  <c r="M162" i="52"/>
  <c r="F110" i="52"/>
  <c r="F122" i="52"/>
  <c r="F11" i="52" s="1"/>
  <c r="F87" i="46" s="1"/>
  <c r="F113" i="52"/>
  <c r="F107" i="52"/>
  <c r="N99" i="52"/>
  <c r="N117" i="52"/>
  <c r="D159" i="52"/>
  <c r="D141" i="52"/>
  <c r="J75" i="52"/>
  <c r="J96" i="52"/>
  <c r="R101" i="52"/>
  <c r="R10" i="52" s="1"/>
  <c r="R86" i="46" s="1"/>
  <c r="R89" i="52"/>
  <c r="R86" i="52"/>
  <c r="R92" i="52"/>
  <c r="K99" i="52"/>
  <c r="K117" i="52"/>
  <c r="C99" i="52"/>
  <c r="C117" i="52"/>
  <c r="Q107" i="52"/>
  <c r="Q113" i="52"/>
  <c r="Q122" i="52"/>
  <c r="Q11" i="52" s="1"/>
  <c r="Q87" i="46" s="1"/>
  <c r="Q110" i="52"/>
  <c r="O141" i="52"/>
  <c r="O159" i="52"/>
  <c r="P178" i="52"/>
  <c r="P181" i="52" s="1"/>
  <c r="P162" i="52"/>
  <c r="O122" i="52"/>
  <c r="O11" i="52" s="1"/>
  <c r="O87" i="46" s="1"/>
  <c r="L113" i="52"/>
  <c r="L122" i="52"/>
  <c r="L11" i="52" s="1"/>
  <c r="L87" i="46" s="1"/>
  <c r="L107" i="52"/>
  <c r="L110" i="52"/>
  <c r="G122" i="52"/>
  <c r="G11" i="52" s="1"/>
  <c r="G87" i="46" s="1"/>
  <c r="G107" i="52"/>
  <c r="G113" i="52"/>
  <c r="G110" i="52"/>
  <c r="H101" i="52"/>
  <c r="H10" i="52" s="1"/>
  <c r="H86" i="46" s="1"/>
  <c r="H89" i="52"/>
  <c r="H86" i="52"/>
  <c r="H92" i="52"/>
  <c r="P143" i="52"/>
  <c r="P12" i="52" s="1"/>
  <c r="P88" i="46" s="1"/>
  <c r="P131" i="52"/>
  <c r="P128" i="52"/>
  <c r="P134" i="52"/>
  <c r="E134" i="52"/>
  <c r="E143" i="52"/>
  <c r="E12" i="52" s="1"/>
  <c r="E88" i="46" s="1"/>
  <c r="E131" i="52"/>
  <c r="E128" i="52"/>
  <c r="L159" i="52"/>
  <c r="L141" i="52"/>
  <c r="E162" i="52"/>
  <c r="E178" i="52"/>
  <c r="E181" i="52" s="1"/>
  <c r="J53" i="48"/>
  <c r="J72" i="48" s="1"/>
  <c r="J75" i="48" s="1"/>
  <c r="R53" i="48"/>
  <c r="R72" i="48" s="1"/>
  <c r="R96" i="48" s="1"/>
  <c r="R99" i="48" s="1"/>
  <c r="R86" i="48" s="1"/>
  <c r="J72" i="47"/>
  <c r="J75" i="47" s="1"/>
  <c r="H53" i="48"/>
  <c r="H56" i="48" s="1"/>
  <c r="P53" i="48"/>
  <c r="P56" i="48" s="1"/>
  <c r="U44" i="47"/>
  <c r="E53" i="47"/>
  <c r="E72" i="47" s="1"/>
  <c r="U129" i="49"/>
  <c r="Q53" i="49"/>
  <c r="Q72" i="49" s="1"/>
  <c r="H53" i="49"/>
  <c r="H56" i="49" s="1"/>
  <c r="H49" i="49" s="1"/>
  <c r="P53" i="49"/>
  <c r="P72" i="49" s="1"/>
  <c r="U129" i="48"/>
  <c r="U129" i="47"/>
  <c r="K35" i="49"/>
  <c r="K7" i="49" s="1"/>
  <c r="K98" i="46" s="1"/>
  <c r="K26" i="49"/>
  <c r="K23" i="49"/>
  <c r="I35" i="49"/>
  <c r="I7" i="49" s="1"/>
  <c r="I98" i="46" s="1"/>
  <c r="I23" i="49"/>
  <c r="C23" i="49"/>
  <c r="J53" i="49"/>
  <c r="J56" i="49" s="1"/>
  <c r="J46" i="49" s="1"/>
  <c r="R72" i="49"/>
  <c r="R96" i="49" s="1"/>
  <c r="U44" i="49"/>
  <c r="C53" i="49"/>
  <c r="K53" i="49"/>
  <c r="K72" i="49" s="1"/>
  <c r="K75" i="49" s="1"/>
  <c r="K77" i="49" s="1"/>
  <c r="K9" i="49" s="1"/>
  <c r="K100" i="46" s="1"/>
  <c r="I53" i="49"/>
  <c r="I56" i="49" s="1"/>
  <c r="D23" i="49"/>
  <c r="D20" i="49"/>
  <c r="I26" i="49"/>
  <c r="F53" i="49"/>
  <c r="F33" i="49"/>
  <c r="F35" i="49" s="1"/>
  <c r="F7" i="49" s="1"/>
  <c r="F98" i="46" s="1"/>
  <c r="N53" i="49"/>
  <c r="N72" i="49" s="1"/>
  <c r="N75" i="49" s="1"/>
  <c r="N77" i="49" s="1"/>
  <c r="N9" i="49" s="1"/>
  <c r="N100" i="46" s="1"/>
  <c r="N33" i="49"/>
  <c r="N35" i="49" s="1"/>
  <c r="N7" i="49" s="1"/>
  <c r="N98" i="46" s="1"/>
  <c r="Q40" i="49"/>
  <c r="Q33" i="49"/>
  <c r="E26" i="49"/>
  <c r="E23" i="49"/>
  <c r="E40" i="49"/>
  <c r="M40" i="49"/>
  <c r="H103" i="49"/>
  <c r="O35" i="49"/>
  <c r="O7" i="49" s="1"/>
  <c r="O98" i="46" s="1"/>
  <c r="O23" i="49"/>
  <c r="O20" i="49"/>
  <c r="J40" i="49"/>
  <c r="J33" i="49"/>
  <c r="R40" i="49"/>
  <c r="R33" i="49"/>
  <c r="I103" i="49"/>
  <c r="Q103" i="49"/>
  <c r="G26" i="49"/>
  <c r="O26" i="49"/>
  <c r="E53" i="49"/>
  <c r="E72" i="49" s="1"/>
  <c r="E75" i="49" s="1"/>
  <c r="M53" i="49"/>
  <c r="M72" i="49" s="1"/>
  <c r="E33" i="49"/>
  <c r="E35" i="49" s="1"/>
  <c r="E7" i="49" s="1"/>
  <c r="E98" i="46" s="1"/>
  <c r="M33" i="49"/>
  <c r="M35" i="49" s="1"/>
  <c r="M7" i="49" s="1"/>
  <c r="M98" i="46" s="1"/>
  <c r="P33" i="49"/>
  <c r="F40" i="49"/>
  <c r="N20" i="49"/>
  <c r="G53" i="49"/>
  <c r="G72" i="49" s="1"/>
  <c r="O53" i="49"/>
  <c r="O72" i="49" s="1"/>
  <c r="O96" i="49" s="1"/>
  <c r="O99" i="49" s="1"/>
  <c r="O86" i="49" s="1"/>
  <c r="F20" i="49"/>
  <c r="G40" i="49"/>
  <c r="O40" i="49"/>
  <c r="G33" i="49"/>
  <c r="L40" i="49"/>
  <c r="N103" i="49"/>
  <c r="H33" i="49"/>
  <c r="C20" i="49"/>
  <c r="K20" i="49"/>
  <c r="U47" i="49"/>
  <c r="K103" i="49"/>
  <c r="C103" i="49"/>
  <c r="D103" i="49"/>
  <c r="E35" i="48"/>
  <c r="E7" i="48" s="1"/>
  <c r="E68" i="46" s="1"/>
  <c r="E23" i="48"/>
  <c r="E26" i="48"/>
  <c r="U44" i="48"/>
  <c r="G26" i="48"/>
  <c r="E53" i="48"/>
  <c r="M53" i="48"/>
  <c r="M56" i="48" s="1"/>
  <c r="I40" i="48"/>
  <c r="I33" i="48"/>
  <c r="I26" i="48" s="1"/>
  <c r="P33" i="48"/>
  <c r="M35" i="48"/>
  <c r="M7" i="48" s="1"/>
  <c r="M68" i="46" s="1"/>
  <c r="M26" i="48"/>
  <c r="M23" i="48"/>
  <c r="Q40" i="48"/>
  <c r="F30" i="48"/>
  <c r="F33" i="48" s="1"/>
  <c r="N30" i="48"/>
  <c r="N33" i="48" s="1"/>
  <c r="H40" i="48"/>
  <c r="R33" i="48"/>
  <c r="G53" i="48"/>
  <c r="G72" i="48" s="1"/>
  <c r="O53" i="48"/>
  <c r="O72" i="48" s="1"/>
  <c r="D56" i="48"/>
  <c r="D49" i="48" s="1"/>
  <c r="D72" i="48"/>
  <c r="D75" i="48" s="1"/>
  <c r="J103" i="48"/>
  <c r="Q30" i="48"/>
  <c r="Q33" i="48" s="1"/>
  <c r="D40" i="48"/>
  <c r="D33" i="48"/>
  <c r="L40" i="48"/>
  <c r="L33" i="48"/>
  <c r="C33" i="48"/>
  <c r="C103" i="48"/>
  <c r="I103" i="48"/>
  <c r="H33" i="48"/>
  <c r="H26" i="48" s="1"/>
  <c r="U47" i="48"/>
  <c r="I53" i="48"/>
  <c r="I72" i="48" s="1"/>
  <c r="I96" i="48" s="1"/>
  <c r="Q53" i="48"/>
  <c r="N53" i="48"/>
  <c r="N72" i="48" s="1"/>
  <c r="N75" i="48" s="1"/>
  <c r="N62" i="48" s="1"/>
  <c r="G33" i="48"/>
  <c r="O33" i="48"/>
  <c r="J33" i="48"/>
  <c r="E20" i="48"/>
  <c r="M20" i="48"/>
  <c r="D103" i="48"/>
  <c r="L103" i="48"/>
  <c r="U111" i="48"/>
  <c r="M33" i="47"/>
  <c r="M35" i="47" s="1"/>
  <c r="M7" i="47" s="1"/>
  <c r="M53" i="46" s="1"/>
  <c r="M53" i="47"/>
  <c r="M56" i="47" s="1"/>
  <c r="J58" i="47"/>
  <c r="J8" i="47" s="1"/>
  <c r="J54" i="46" s="1"/>
  <c r="J43" i="47"/>
  <c r="J49" i="47"/>
  <c r="J46" i="47"/>
  <c r="N23" i="47"/>
  <c r="N26" i="47"/>
  <c r="P33" i="47"/>
  <c r="P20" i="47" s="1"/>
  <c r="P53" i="47"/>
  <c r="P56" i="47" s="1"/>
  <c r="O103" i="47"/>
  <c r="H30" i="47"/>
  <c r="H33" i="47" s="1"/>
  <c r="H35" i="47" s="1"/>
  <c r="H7" i="47" s="1"/>
  <c r="H53" i="46" s="1"/>
  <c r="M40" i="47"/>
  <c r="J26" i="47"/>
  <c r="J23" i="47"/>
  <c r="J20" i="47"/>
  <c r="J40" i="47"/>
  <c r="K23" i="47"/>
  <c r="G26" i="47"/>
  <c r="P40" i="47"/>
  <c r="G103" i="47"/>
  <c r="P103" i="47"/>
  <c r="G33" i="47"/>
  <c r="G35" i="47" s="1"/>
  <c r="G7" i="47" s="1"/>
  <c r="G53" i="46" s="1"/>
  <c r="G40" i="47"/>
  <c r="O33" i="47"/>
  <c r="O20" i="47" s="1"/>
  <c r="O40" i="47"/>
  <c r="U47" i="47"/>
  <c r="G23" i="47"/>
  <c r="P23" i="47"/>
  <c r="M23" i="47"/>
  <c r="M20" i="47"/>
  <c r="M26" i="47"/>
  <c r="C23" i="47"/>
  <c r="C20" i="47"/>
  <c r="H40" i="47"/>
  <c r="D23" i="47"/>
  <c r="D20" i="47"/>
  <c r="R40" i="47"/>
  <c r="I30" i="47"/>
  <c r="I33" i="47" s="1"/>
  <c r="Q30" i="47"/>
  <c r="Q33" i="47" s="1"/>
  <c r="C40" i="47"/>
  <c r="R53" i="47"/>
  <c r="R72" i="47" s="1"/>
  <c r="K56" i="47"/>
  <c r="E103" i="47"/>
  <c r="M103" i="47"/>
  <c r="L33" i="47"/>
  <c r="D26" i="47"/>
  <c r="O68" i="47" l="1"/>
  <c r="O77" i="47"/>
  <c r="O9" i="47" s="1"/>
  <c r="O55" i="46" s="1"/>
  <c r="O62" i="47"/>
  <c r="O65" i="47"/>
  <c r="L56" i="48"/>
  <c r="L58" i="48" s="1"/>
  <c r="L8" i="48" s="1"/>
  <c r="L69" i="46" s="1"/>
  <c r="L72" i="48"/>
  <c r="L96" i="48" s="1"/>
  <c r="L117" i="48" s="1"/>
  <c r="L72" i="47"/>
  <c r="L56" i="47"/>
  <c r="L58" i="47" s="1"/>
  <c r="L8" i="47" s="1"/>
  <c r="L54" i="46" s="1"/>
  <c r="C72" i="47"/>
  <c r="C56" i="47"/>
  <c r="R35" i="47"/>
  <c r="R7" i="47" s="1"/>
  <c r="R53" i="46" s="1"/>
  <c r="R23" i="47"/>
  <c r="R26" i="47"/>
  <c r="R20" i="47"/>
  <c r="E35" i="47"/>
  <c r="E7" i="47" s="1"/>
  <c r="E53" i="46" s="1"/>
  <c r="E20" i="47"/>
  <c r="E23" i="47"/>
  <c r="E26" i="47"/>
  <c r="L72" i="49"/>
  <c r="L96" i="49" s="1"/>
  <c r="L99" i="49" s="1"/>
  <c r="L92" i="49" s="1"/>
  <c r="L56" i="49"/>
  <c r="G72" i="47"/>
  <c r="G56" i="47"/>
  <c r="G43" i="47" s="1"/>
  <c r="D96" i="47"/>
  <c r="D117" i="47" s="1"/>
  <c r="D138" i="47" s="1"/>
  <c r="K33" i="48"/>
  <c r="K20" i="48" s="1"/>
  <c r="K75" i="47"/>
  <c r="K68" i="47" s="1"/>
  <c r="C35" i="47"/>
  <c r="C7" i="47" s="1"/>
  <c r="C53" i="46" s="1"/>
  <c r="D26" i="49"/>
  <c r="C26" i="49"/>
  <c r="N53" i="47"/>
  <c r="D68" i="47"/>
  <c r="K26" i="47"/>
  <c r="F23" i="49"/>
  <c r="D56" i="49"/>
  <c r="D58" i="49" s="1"/>
  <c r="D8" i="49" s="1"/>
  <c r="D99" i="46" s="1"/>
  <c r="L26" i="49"/>
  <c r="F26" i="49"/>
  <c r="F53" i="47"/>
  <c r="D62" i="47"/>
  <c r="D65" i="47"/>
  <c r="L23" i="49"/>
  <c r="K20" i="47"/>
  <c r="N20" i="47"/>
  <c r="F53" i="48"/>
  <c r="F72" i="48" s="1"/>
  <c r="F75" i="48" s="1"/>
  <c r="M143" i="52"/>
  <c r="M12" i="52" s="1"/>
  <c r="M88" i="46" s="1"/>
  <c r="H53" i="47"/>
  <c r="H56" i="47" s="1"/>
  <c r="D56" i="47"/>
  <c r="E20" i="49"/>
  <c r="L20" i="49"/>
  <c r="J72" i="49"/>
  <c r="J75" i="49" s="1"/>
  <c r="J77" i="49" s="1"/>
  <c r="J9" i="49" s="1"/>
  <c r="J100" i="46" s="1"/>
  <c r="O113" i="52"/>
  <c r="O107" i="52"/>
  <c r="F159" i="52"/>
  <c r="F162" i="52" s="1"/>
  <c r="M134" i="52"/>
  <c r="G141" i="52"/>
  <c r="G128" i="52" s="1"/>
  <c r="M128" i="52"/>
  <c r="H138" i="52"/>
  <c r="H141" i="52" s="1"/>
  <c r="J96" i="47"/>
  <c r="J117" i="47" s="1"/>
  <c r="J120" i="47" s="1"/>
  <c r="R89" i="48"/>
  <c r="P56" i="49"/>
  <c r="P58" i="49" s="1"/>
  <c r="P8" i="49" s="1"/>
  <c r="P99" i="46" s="1"/>
  <c r="D75" i="49"/>
  <c r="D77" i="49" s="1"/>
  <c r="D9" i="49" s="1"/>
  <c r="D100" i="46" s="1"/>
  <c r="J49" i="49"/>
  <c r="J56" i="48"/>
  <c r="J58" i="48" s="1"/>
  <c r="J8" i="48" s="1"/>
  <c r="J69" i="46" s="1"/>
  <c r="H72" i="48"/>
  <c r="H96" i="48" s="1"/>
  <c r="H99" i="48" s="1"/>
  <c r="H89" i="48" s="1"/>
  <c r="M72" i="48"/>
  <c r="M75" i="48" s="1"/>
  <c r="M68" i="48" s="1"/>
  <c r="R92" i="48"/>
  <c r="R75" i="48"/>
  <c r="R77" i="48" s="1"/>
  <c r="R9" i="48" s="1"/>
  <c r="R70" i="46" s="1"/>
  <c r="R101" i="48"/>
  <c r="R10" i="48" s="1"/>
  <c r="R71" i="46" s="1"/>
  <c r="R56" i="48"/>
  <c r="R58" i="48" s="1"/>
  <c r="R8" i="48" s="1"/>
  <c r="R69" i="46" s="1"/>
  <c r="R117" i="48"/>
  <c r="R120" i="48" s="1"/>
  <c r="R113" i="48" s="1"/>
  <c r="E183" i="52"/>
  <c r="E14" i="52" s="1"/>
  <c r="E90" i="46" s="1"/>
  <c r="E171" i="52"/>
  <c r="E168" i="52"/>
  <c r="E174" i="52"/>
  <c r="C138" i="52"/>
  <c r="C120" i="52"/>
  <c r="R122" i="52"/>
  <c r="R11" i="52" s="1"/>
  <c r="R87" i="46" s="1"/>
  <c r="R113" i="52"/>
  <c r="R110" i="52"/>
  <c r="R107" i="52"/>
  <c r="E149" i="52"/>
  <c r="E164" i="52"/>
  <c r="E13" i="52" s="1"/>
  <c r="E89" i="46" s="1"/>
  <c r="E155" i="52"/>
  <c r="E152" i="52"/>
  <c r="H122" i="52"/>
  <c r="H11" i="52" s="1"/>
  <c r="H87" i="46" s="1"/>
  <c r="H110" i="52"/>
  <c r="H113" i="52"/>
  <c r="H107" i="52"/>
  <c r="J65" i="52"/>
  <c r="J77" i="52"/>
  <c r="J9" i="52" s="1"/>
  <c r="J85" i="46" s="1"/>
  <c r="J62" i="52"/>
  <c r="J68" i="52"/>
  <c r="K138" i="52"/>
  <c r="K120" i="52"/>
  <c r="M164" i="52"/>
  <c r="M13" i="52" s="1"/>
  <c r="M89" i="46" s="1"/>
  <c r="M152" i="52"/>
  <c r="M149" i="52"/>
  <c r="M155" i="52"/>
  <c r="O131" i="52"/>
  <c r="O128" i="52"/>
  <c r="O134" i="52"/>
  <c r="O143" i="52"/>
  <c r="O12" i="52" s="1"/>
  <c r="O88" i="46" s="1"/>
  <c r="D178" i="52"/>
  <c r="D181" i="52" s="1"/>
  <c r="D162" i="52"/>
  <c r="M183" i="52"/>
  <c r="M14" i="52" s="1"/>
  <c r="M90" i="46" s="1"/>
  <c r="M174" i="52"/>
  <c r="M171" i="52"/>
  <c r="M168" i="52"/>
  <c r="G178" i="52"/>
  <c r="G181" i="52" s="1"/>
  <c r="G162" i="52"/>
  <c r="N120" i="52"/>
  <c r="N138" i="52"/>
  <c r="I120" i="52"/>
  <c r="I138" i="52"/>
  <c r="J117" i="52"/>
  <c r="J99" i="52"/>
  <c r="C101" i="52"/>
  <c r="C10" i="52" s="1"/>
  <c r="C86" i="46" s="1"/>
  <c r="C92" i="52"/>
  <c r="C89" i="52"/>
  <c r="C86" i="52"/>
  <c r="R141" i="52"/>
  <c r="R159" i="52"/>
  <c r="L143" i="52"/>
  <c r="L12" i="52" s="1"/>
  <c r="L88" i="46" s="1"/>
  <c r="L134" i="52"/>
  <c r="L128" i="52"/>
  <c r="L131" i="52"/>
  <c r="O178" i="52"/>
  <c r="O181" i="52" s="1"/>
  <c r="O162" i="52"/>
  <c r="D143" i="52"/>
  <c r="D12" i="52" s="1"/>
  <c r="D88" i="46" s="1"/>
  <c r="D131" i="52"/>
  <c r="D134" i="52"/>
  <c r="D128" i="52"/>
  <c r="L178" i="52"/>
  <c r="L181" i="52" s="1"/>
  <c r="L162" i="52"/>
  <c r="K101" i="52"/>
  <c r="K10" i="52" s="1"/>
  <c r="K86" i="46" s="1"/>
  <c r="K92" i="52"/>
  <c r="K86" i="52"/>
  <c r="K89" i="52"/>
  <c r="N101" i="52"/>
  <c r="N10" i="52" s="1"/>
  <c r="N86" i="46" s="1"/>
  <c r="N86" i="52"/>
  <c r="N89" i="52"/>
  <c r="N92" i="52"/>
  <c r="I89" i="52"/>
  <c r="I86" i="52"/>
  <c r="I101" i="52"/>
  <c r="I10" i="52" s="1"/>
  <c r="I86" i="46" s="1"/>
  <c r="I92" i="52"/>
  <c r="P164" i="52"/>
  <c r="P13" i="52" s="1"/>
  <c r="P89" i="46" s="1"/>
  <c r="P152" i="52"/>
  <c r="P149" i="52"/>
  <c r="P155" i="52"/>
  <c r="Q143" i="52"/>
  <c r="Q12" i="52" s="1"/>
  <c r="Q88" i="46" s="1"/>
  <c r="Q134" i="52"/>
  <c r="Q128" i="52"/>
  <c r="Q131" i="52"/>
  <c r="F143" i="52"/>
  <c r="F12" i="52" s="1"/>
  <c r="F88" i="46" s="1"/>
  <c r="F131" i="52"/>
  <c r="F134" i="52"/>
  <c r="F128" i="52"/>
  <c r="P183" i="52"/>
  <c r="P14" i="52" s="1"/>
  <c r="P90" i="46" s="1"/>
  <c r="P174" i="52"/>
  <c r="P168" i="52"/>
  <c r="P171" i="52"/>
  <c r="Q162" i="52"/>
  <c r="Q178" i="52"/>
  <c r="Q181" i="52" s="1"/>
  <c r="F178" i="52"/>
  <c r="F181" i="52" s="1"/>
  <c r="Q56" i="49"/>
  <c r="Q49" i="49" s="1"/>
  <c r="R49" i="49"/>
  <c r="P72" i="48"/>
  <c r="P96" i="48" s="1"/>
  <c r="C46" i="48"/>
  <c r="C49" i="48"/>
  <c r="M65" i="48"/>
  <c r="N96" i="48"/>
  <c r="N99" i="48" s="1"/>
  <c r="L75" i="48"/>
  <c r="L77" i="48" s="1"/>
  <c r="L9" i="48" s="1"/>
  <c r="L70" i="46" s="1"/>
  <c r="C72" i="48"/>
  <c r="C96" i="48" s="1"/>
  <c r="O96" i="47"/>
  <c r="O99" i="47" s="1"/>
  <c r="O86" i="47" s="1"/>
  <c r="O56" i="47"/>
  <c r="O43" i="47" s="1"/>
  <c r="K117" i="47"/>
  <c r="K120" i="47" s="1"/>
  <c r="K107" i="47" s="1"/>
  <c r="J96" i="48"/>
  <c r="J117" i="48" s="1"/>
  <c r="O56" i="48"/>
  <c r="O43" i="48" s="1"/>
  <c r="L99" i="48"/>
  <c r="L86" i="48" s="1"/>
  <c r="K89" i="47"/>
  <c r="R56" i="47"/>
  <c r="R49" i="47" s="1"/>
  <c r="K92" i="47"/>
  <c r="K86" i="47"/>
  <c r="M72" i="47"/>
  <c r="M96" i="47" s="1"/>
  <c r="E56" i="47"/>
  <c r="E43" i="47" s="1"/>
  <c r="P72" i="47"/>
  <c r="P96" i="47" s="1"/>
  <c r="P117" i="47" s="1"/>
  <c r="P138" i="47" s="1"/>
  <c r="Q96" i="49"/>
  <c r="Q99" i="49" s="1"/>
  <c r="Q101" i="49" s="1"/>
  <c r="Q10" i="49" s="1"/>
  <c r="Q101" i="46" s="1"/>
  <c r="Q75" i="49"/>
  <c r="Q77" i="49" s="1"/>
  <c r="Q9" i="49" s="1"/>
  <c r="Q100" i="46" s="1"/>
  <c r="H72" i="49"/>
  <c r="H75" i="49" s="1"/>
  <c r="K65" i="49"/>
  <c r="R58" i="49"/>
  <c r="R8" i="49" s="1"/>
  <c r="R99" i="46" s="1"/>
  <c r="R43" i="49"/>
  <c r="P96" i="49"/>
  <c r="P75" i="49"/>
  <c r="P62" i="49" s="1"/>
  <c r="M96" i="49"/>
  <c r="M99" i="49" s="1"/>
  <c r="M75" i="49"/>
  <c r="M77" i="49" s="1"/>
  <c r="M9" i="49" s="1"/>
  <c r="M100" i="46" s="1"/>
  <c r="N56" i="49"/>
  <c r="N46" i="49" s="1"/>
  <c r="N65" i="49"/>
  <c r="X14" i="49"/>
  <c r="X15" i="49" s="1"/>
  <c r="G94" i="46" s="1"/>
  <c r="M56" i="49"/>
  <c r="M46" i="49" s="1"/>
  <c r="N68" i="49"/>
  <c r="K62" i="49"/>
  <c r="E56" i="49"/>
  <c r="E43" i="49" s="1"/>
  <c r="G56" i="49"/>
  <c r="G58" i="49" s="1"/>
  <c r="G8" i="49" s="1"/>
  <c r="G99" i="46" s="1"/>
  <c r="I72" i="49"/>
  <c r="I96" i="49" s="1"/>
  <c r="I99" i="49" s="1"/>
  <c r="I89" i="49" s="1"/>
  <c r="N96" i="49"/>
  <c r="N62" i="49"/>
  <c r="I56" i="48"/>
  <c r="I58" i="48" s="1"/>
  <c r="I8" i="48" s="1"/>
  <c r="I69" i="46" s="1"/>
  <c r="F56" i="48"/>
  <c r="F46" i="48" s="1"/>
  <c r="G56" i="48"/>
  <c r="G43" i="48" s="1"/>
  <c r="F96" i="48"/>
  <c r="X14" i="47"/>
  <c r="X15" i="47" s="1"/>
  <c r="G49" i="46" s="1"/>
  <c r="L86" i="49"/>
  <c r="L101" i="49"/>
  <c r="L10" i="49" s="1"/>
  <c r="L101" i="46" s="1"/>
  <c r="L89" i="49"/>
  <c r="G75" i="49"/>
  <c r="G96" i="49"/>
  <c r="I43" i="49"/>
  <c r="I58" i="49"/>
  <c r="I8" i="49" s="1"/>
  <c r="I99" i="46" s="1"/>
  <c r="I46" i="49"/>
  <c r="I49" i="49"/>
  <c r="R99" i="49"/>
  <c r="R117" i="49"/>
  <c r="E68" i="49"/>
  <c r="E65" i="49"/>
  <c r="E62" i="49"/>
  <c r="E77" i="49"/>
  <c r="E9" i="49" s="1"/>
  <c r="E100" i="46" s="1"/>
  <c r="H58" i="49"/>
  <c r="H8" i="49" s="1"/>
  <c r="H99" i="46" s="1"/>
  <c r="H46" i="49"/>
  <c r="H43" i="49"/>
  <c r="M20" i="49"/>
  <c r="Q35" i="49"/>
  <c r="Q7" i="49" s="1"/>
  <c r="Q98" i="46" s="1"/>
  <c r="Q23" i="49"/>
  <c r="Q26" i="49"/>
  <c r="Q20" i="49"/>
  <c r="C72" i="49"/>
  <c r="C56" i="49"/>
  <c r="O92" i="49"/>
  <c r="D120" i="49"/>
  <c r="D138" i="49"/>
  <c r="G20" i="49"/>
  <c r="G35" i="49"/>
  <c r="G7" i="49" s="1"/>
  <c r="G98" i="46" s="1"/>
  <c r="G23" i="49"/>
  <c r="M23" i="49"/>
  <c r="L117" i="49"/>
  <c r="J43" i="49"/>
  <c r="J58" i="49"/>
  <c r="J8" i="49" s="1"/>
  <c r="J99" i="46" s="1"/>
  <c r="O101" i="49"/>
  <c r="O10" i="49" s="1"/>
  <c r="O101" i="46" s="1"/>
  <c r="O89" i="49"/>
  <c r="P35" i="49"/>
  <c r="P7" i="49" s="1"/>
  <c r="P98" i="46" s="1"/>
  <c r="P26" i="49"/>
  <c r="P20" i="49"/>
  <c r="P23" i="49"/>
  <c r="E96" i="49"/>
  <c r="M26" i="49"/>
  <c r="O75" i="49"/>
  <c r="R75" i="49"/>
  <c r="L46" i="49"/>
  <c r="L58" i="49"/>
  <c r="L8" i="49" s="1"/>
  <c r="L99" i="46" s="1"/>
  <c r="L49" i="49"/>
  <c r="L43" i="49"/>
  <c r="N26" i="49"/>
  <c r="O117" i="49"/>
  <c r="R35" i="49"/>
  <c r="R7" i="49" s="1"/>
  <c r="R98" i="46" s="1"/>
  <c r="R23" i="49"/>
  <c r="R26" i="49"/>
  <c r="R20" i="49"/>
  <c r="F56" i="49"/>
  <c r="F72" i="49"/>
  <c r="J35" i="49"/>
  <c r="J7" i="49" s="1"/>
  <c r="J98" i="46" s="1"/>
  <c r="J23" i="49"/>
  <c r="J26" i="49"/>
  <c r="J20" i="49"/>
  <c r="K96" i="49"/>
  <c r="H35" i="49"/>
  <c r="H7" i="49" s="1"/>
  <c r="H98" i="46" s="1"/>
  <c r="H23" i="49"/>
  <c r="H26" i="49"/>
  <c r="H20" i="49"/>
  <c r="D99" i="49"/>
  <c r="K68" i="49"/>
  <c r="N23" i="49"/>
  <c r="D49" i="49"/>
  <c r="K56" i="49"/>
  <c r="O56" i="49"/>
  <c r="L35" i="48"/>
  <c r="L7" i="48" s="1"/>
  <c r="L68" i="46" s="1"/>
  <c r="L26" i="48"/>
  <c r="L20" i="48"/>
  <c r="L23" i="48"/>
  <c r="Q72" i="48"/>
  <c r="Q56" i="48"/>
  <c r="K56" i="48"/>
  <c r="G96" i="48"/>
  <c r="G75" i="48"/>
  <c r="I117" i="48"/>
  <c r="I99" i="48"/>
  <c r="D58" i="48"/>
  <c r="D8" i="48" s="1"/>
  <c r="D69" i="46" s="1"/>
  <c r="D43" i="48"/>
  <c r="D46" i="48"/>
  <c r="M58" i="48"/>
  <c r="M8" i="48" s="1"/>
  <c r="M69" i="46" s="1"/>
  <c r="M46" i="48"/>
  <c r="M43" i="48"/>
  <c r="M49" i="48"/>
  <c r="J35" i="48"/>
  <c r="J7" i="48" s="1"/>
  <c r="J68" i="46" s="1"/>
  <c r="J26" i="48"/>
  <c r="J23" i="48"/>
  <c r="J20" i="48"/>
  <c r="O75" i="48"/>
  <c r="O96" i="48"/>
  <c r="Q35" i="48"/>
  <c r="Q7" i="48" s="1"/>
  <c r="Q68" i="46" s="1"/>
  <c r="Q23" i="48"/>
  <c r="Q20" i="48"/>
  <c r="Q26" i="48"/>
  <c r="J77" i="48"/>
  <c r="J9" i="48" s="1"/>
  <c r="J70" i="46" s="1"/>
  <c r="J68" i="48"/>
  <c r="J62" i="48"/>
  <c r="J65" i="48"/>
  <c r="C35" i="48"/>
  <c r="C7" i="48" s="1"/>
  <c r="C68" i="46" s="1"/>
  <c r="C23" i="48"/>
  <c r="C26" i="48"/>
  <c r="C20" i="48"/>
  <c r="L120" i="48"/>
  <c r="L138" i="48"/>
  <c r="K96" i="48"/>
  <c r="K75" i="48"/>
  <c r="O35" i="48"/>
  <c r="O7" i="48" s="1"/>
  <c r="O68" i="46" s="1"/>
  <c r="O26" i="48"/>
  <c r="O23" i="48"/>
  <c r="O20" i="48"/>
  <c r="F77" i="48"/>
  <c r="F9" i="48" s="1"/>
  <c r="F70" i="46" s="1"/>
  <c r="F68" i="48"/>
  <c r="F65" i="48"/>
  <c r="F62" i="48"/>
  <c r="H58" i="48"/>
  <c r="H8" i="48" s="1"/>
  <c r="H69" i="46" s="1"/>
  <c r="H43" i="48"/>
  <c r="H46" i="48"/>
  <c r="H49" i="48"/>
  <c r="L46" i="48"/>
  <c r="L49" i="48"/>
  <c r="R35" i="48"/>
  <c r="R7" i="48" s="1"/>
  <c r="R68" i="46" s="1"/>
  <c r="R20" i="48"/>
  <c r="R26" i="48"/>
  <c r="R23" i="48"/>
  <c r="I75" i="48"/>
  <c r="N56" i="48"/>
  <c r="D96" i="48"/>
  <c r="K23" i="48"/>
  <c r="K26" i="48"/>
  <c r="E72" i="48"/>
  <c r="E56" i="48"/>
  <c r="X14" i="48"/>
  <c r="X15" i="48" s="1"/>
  <c r="G64" i="46" s="1"/>
  <c r="C58" i="48"/>
  <c r="C8" i="48" s="1"/>
  <c r="C69" i="46" s="1"/>
  <c r="C43" i="48"/>
  <c r="N77" i="48"/>
  <c r="N9" i="48" s="1"/>
  <c r="N70" i="46" s="1"/>
  <c r="N68" i="48"/>
  <c r="N65" i="48"/>
  <c r="L43" i="48"/>
  <c r="D35" i="48"/>
  <c r="D7" i="48" s="1"/>
  <c r="D68" i="46" s="1"/>
  <c r="D26" i="48"/>
  <c r="D20" i="48"/>
  <c r="D23" i="48"/>
  <c r="N23" i="48"/>
  <c r="N20" i="48"/>
  <c r="N35" i="48"/>
  <c r="N7" i="48" s="1"/>
  <c r="N68" i="46" s="1"/>
  <c r="N26" i="48"/>
  <c r="I23" i="48"/>
  <c r="I20" i="48"/>
  <c r="I35" i="48"/>
  <c r="I7" i="48" s="1"/>
  <c r="I68" i="46" s="1"/>
  <c r="P35" i="48"/>
  <c r="P7" i="48" s="1"/>
  <c r="P68" i="46" s="1"/>
  <c r="P26" i="48"/>
  <c r="P20" i="48"/>
  <c r="P23" i="48"/>
  <c r="G35" i="48"/>
  <c r="G7" i="48" s="1"/>
  <c r="G68" i="46" s="1"/>
  <c r="G20" i="48"/>
  <c r="G23" i="48"/>
  <c r="P58" i="48"/>
  <c r="P8" i="48" s="1"/>
  <c r="P69" i="46" s="1"/>
  <c r="P43" i="48"/>
  <c r="P49" i="48"/>
  <c r="P46" i="48"/>
  <c r="H23" i="48"/>
  <c r="H20" i="48"/>
  <c r="H35" i="48"/>
  <c r="H7" i="48" s="1"/>
  <c r="H68" i="46" s="1"/>
  <c r="D77" i="48"/>
  <c r="D9" i="48" s="1"/>
  <c r="D70" i="46" s="1"/>
  <c r="D68" i="48"/>
  <c r="D65" i="48"/>
  <c r="D62" i="48"/>
  <c r="F35" i="48"/>
  <c r="F7" i="48" s="1"/>
  <c r="F68" i="46" s="1"/>
  <c r="F26" i="48"/>
  <c r="F20" i="48"/>
  <c r="F23" i="48"/>
  <c r="I35" i="47"/>
  <c r="I7" i="47" s="1"/>
  <c r="I53" i="46" s="1"/>
  <c r="I20" i="47"/>
  <c r="I26" i="47"/>
  <c r="I23" i="47"/>
  <c r="P58" i="47"/>
  <c r="P8" i="47" s="1"/>
  <c r="P54" i="46" s="1"/>
  <c r="P46" i="47"/>
  <c r="P43" i="47"/>
  <c r="P49" i="47"/>
  <c r="M58" i="47"/>
  <c r="M8" i="47" s="1"/>
  <c r="M54" i="46" s="1"/>
  <c r="M46" i="47"/>
  <c r="M43" i="47"/>
  <c r="M49" i="47"/>
  <c r="D120" i="47"/>
  <c r="H58" i="47"/>
  <c r="H8" i="47" s="1"/>
  <c r="H54" i="46" s="1"/>
  <c r="H46" i="47"/>
  <c r="H49" i="47"/>
  <c r="H43" i="47"/>
  <c r="R75" i="47"/>
  <c r="R96" i="47"/>
  <c r="J65" i="47"/>
  <c r="J68" i="47"/>
  <c r="J77" i="47"/>
  <c r="J9" i="47" s="1"/>
  <c r="J55" i="46" s="1"/>
  <c r="J62" i="47"/>
  <c r="O23" i="47"/>
  <c r="I53" i="47"/>
  <c r="E75" i="47"/>
  <c r="E96" i="47"/>
  <c r="K122" i="47"/>
  <c r="K11" i="47" s="1"/>
  <c r="K113" i="47"/>
  <c r="G46" i="47"/>
  <c r="G49" i="47"/>
  <c r="G58" i="47"/>
  <c r="G8" i="47" s="1"/>
  <c r="G54" i="46" s="1"/>
  <c r="H23" i="47"/>
  <c r="H26" i="47"/>
  <c r="G20" i="47"/>
  <c r="L35" i="47"/>
  <c r="L7" i="47" s="1"/>
  <c r="L53" i="46" s="1"/>
  <c r="L23" i="47"/>
  <c r="L20" i="47"/>
  <c r="H72" i="47"/>
  <c r="D49" i="47"/>
  <c r="D58" i="47"/>
  <c r="D8" i="47" s="1"/>
  <c r="D54" i="46" s="1"/>
  <c r="D46" i="47"/>
  <c r="D43" i="47"/>
  <c r="C58" i="47"/>
  <c r="C8" i="47" s="1"/>
  <c r="C54" i="46" s="1"/>
  <c r="C49" i="47"/>
  <c r="C46" i="47"/>
  <c r="C43" i="47"/>
  <c r="P35" i="47"/>
  <c r="P7" i="47" s="1"/>
  <c r="P53" i="46" s="1"/>
  <c r="P26" i="47"/>
  <c r="L26" i="47"/>
  <c r="K58" i="47"/>
  <c r="K8" i="47" s="1"/>
  <c r="K54" i="46" s="1"/>
  <c r="K49" i="47"/>
  <c r="K46" i="47"/>
  <c r="K43" i="47"/>
  <c r="F23" i="47"/>
  <c r="F35" i="47"/>
  <c r="F7" i="47" s="1"/>
  <c r="F53" i="46" s="1"/>
  <c r="F20" i="47"/>
  <c r="F26" i="47"/>
  <c r="O26" i="47"/>
  <c r="O35" i="47"/>
  <c r="O7" i="47" s="1"/>
  <c r="O53" i="46" s="1"/>
  <c r="Q23" i="47"/>
  <c r="Q35" i="47"/>
  <c r="Q7" i="47" s="1"/>
  <c r="Q53" i="46" s="1"/>
  <c r="Q26" i="47"/>
  <c r="Q20" i="47"/>
  <c r="K110" i="47"/>
  <c r="H20" i="47"/>
  <c r="Q53" i="47"/>
  <c r="F44" i="38"/>
  <c r="U41" i="38"/>
  <c r="G44" i="38"/>
  <c r="C38" i="38"/>
  <c r="D38" i="38"/>
  <c r="E38" i="38"/>
  <c r="F38" i="38"/>
  <c r="G38" i="38"/>
  <c r="H38" i="38"/>
  <c r="I38" i="38"/>
  <c r="J38" i="38"/>
  <c r="K38" i="38"/>
  <c r="L38" i="38"/>
  <c r="M38" i="38"/>
  <c r="N38" i="38"/>
  <c r="O38" i="38"/>
  <c r="P38" i="38"/>
  <c r="Q38" i="38"/>
  <c r="R38" i="38"/>
  <c r="K35" i="48" l="1"/>
  <c r="K7" i="48" s="1"/>
  <c r="K68" i="46" s="1"/>
  <c r="L75" i="47"/>
  <c r="L96" i="47"/>
  <c r="L43" i="47"/>
  <c r="D43" i="49"/>
  <c r="L46" i="47"/>
  <c r="D46" i="49"/>
  <c r="L75" i="49"/>
  <c r="L65" i="49" s="1"/>
  <c r="N56" i="47"/>
  <c r="N72" i="47"/>
  <c r="G75" i="47"/>
  <c r="G96" i="47"/>
  <c r="K77" i="47"/>
  <c r="K9" i="47" s="1"/>
  <c r="K55" i="46" s="1"/>
  <c r="L49" i="47"/>
  <c r="D99" i="47"/>
  <c r="D101" i="47" s="1"/>
  <c r="D10" i="47" s="1"/>
  <c r="D56" i="46" s="1"/>
  <c r="F56" i="47"/>
  <c r="F72" i="47"/>
  <c r="K62" i="47"/>
  <c r="K65" i="47"/>
  <c r="C96" i="47"/>
  <c r="C75" i="47"/>
  <c r="J96" i="49"/>
  <c r="J99" i="49" s="1"/>
  <c r="J65" i="49"/>
  <c r="D65" i="49"/>
  <c r="J68" i="49"/>
  <c r="J62" i="49"/>
  <c r="G143" i="52"/>
  <c r="G12" i="52" s="1"/>
  <c r="G88" i="46" s="1"/>
  <c r="G134" i="52"/>
  <c r="G131" i="52"/>
  <c r="J99" i="47"/>
  <c r="J86" i="47" s="1"/>
  <c r="J138" i="47"/>
  <c r="J141" i="47" s="1"/>
  <c r="N43" i="49"/>
  <c r="Q68" i="49"/>
  <c r="G43" i="49"/>
  <c r="Q58" i="49"/>
  <c r="Q8" i="49" s="1"/>
  <c r="Q99" i="46" s="1"/>
  <c r="Q65" i="49"/>
  <c r="G46" i="49"/>
  <c r="Q46" i="49"/>
  <c r="H159" i="52"/>
  <c r="H162" i="52" s="1"/>
  <c r="R62" i="48"/>
  <c r="J49" i="48"/>
  <c r="J46" i="48"/>
  <c r="J43" i="48"/>
  <c r="O46" i="47"/>
  <c r="O49" i="47"/>
  <c r="O89" i="47"/>
  <c r="O58" i="47"/>
  <c r="O8" i="47" s="1"/>
  <c r="O54" i="46" s="1"/>
  <c r="O117" i="47"/>
  <c r="O138" i="47" s="1"/>
  <c r="O141" i="47" s="1"/>
  <c r="R58" i="47"/>
  <c r="R8" i="47" s="1"/>
  <c r="R54" i="46" s="1"/>
  <c r="I101" i="49"/>
  <c r="I10" i="49" s="1"/>
  <c r="I101" i="46" s="1"/>
  <c r="H92" i="48"/>
  <c r="O101" i="47"/>
  <c r="O10" i="47" s="1"/>
  <c r="O56" i="46" s="1"/>
  <c r="O92" i="47"/>
  <c r="P43" i="49"/>
  <c r="N58" i="49"/>
  <c r="N8" i="49" s="1"/>
  <c r="N99" i="46" s="1"/>
  <c r="D62" i="49"/>
  <c r="D68" i="49"/>
  <c r="P46" i="49"/>
  <c r="Q92" i="49"/>
  <c r="P49" i="49"/>
  <c r="H96" i="49"/>
  <c r="H117" i="49" s="1"/>
  <c r="G49" i="49"/>
  <c r="Q43" i="49"/>
  <c r="N49" i="49"/>
  <c r="I75" i="49"/>
  <c r="I68" i="49" s="1"/>
  <c r="Q86" i="49"/>
  <c r="E46" i="49"/>
  <c r="H101" i="48"/>
  <c r="H10" i="48" s="1"/>
  <c r="H71" i="46" s="1"/>
  <c r="H86" i="48"/>
  <c r="H75" i="48"/>
  <c r="H77" i="48" s="1"/>
  <c r="H9" i="48" s="1"/>
  <c r="H70" i="46" s="1"/>
  <c r="H62" i="48"/>
  <c r="I46" i="48"/>
  <c r="H117" i="48"/>
  <c r="H138" i="48" s="1"/>
  <c r="H141" i="48" s="1"/>
  <c r="M96" i="48"/>
  <c r="M99" i="48" s="1"/>
  <c r="M62" i="48"/>
  <c r="R68" i="48"/>
  <c r="M77" i="48"/>
  <c r="M9" i="48" s="1"/>
  <c r="M70" i="46" s="1"/>
  <c r="R107" i="48"/>
  <c r="R138" i="48"/>
  <c r="R141" i="48" s="1"/>
  <c r="R65" i="48"/>
  <c r="R46" i="48"/>
  <c r="R122" i="48"/>
  <c r="R11" i="48" s="1"/>
  <c r="P75" i="48"/>
  <c r="P77" i="48" s="1"/>
  <c r="P9" i="48" s="1"/>
  <c r="P70" i="46" s="1"/>
  <c r="R43" i="48"/>
  <c r="R49" i="48"/>
  <c r="R110" i="48"/>
  <c r="K122" i="52"/>
  <c r="K11" i="52" s="1"/>
  <c r="K87" i="46" s="1"/>
  <c r="K107" i="52"/>
  <c r="K110" i="52"/>
  <c r="K113" i="52"/>
  <c r="K141" i="52"/>
  <c r="K159" i="52"/>
  <c r="J101" i="52"/>
  <c r="J10" i="52" s="1"/>
  <c r="J86" i="46" s="1"/>
  <c r="J89" i="52"/>
  <c r="J86" i="52"/>
  <c r="J92" i="52"/>
  <c r="C122" i="52"/>
  <c r="C11" i="52" s="1"/>
  <c r="C87" i="46" s="1"/>
  <c r="C107" i="52"/>
  <c r="C110" i="52"/>
  <c r="C113" i="52"/>
  <c r="H143" i="52"/>
  <c r="H12" i="52" s="1"/>
  <c r="H88" i="46" s="1"/>
  <c r="H128" i="52"/>
  <c r="H134" i="52"/>
  <c r="H131" i="52"/>
  <c r="J138" i="52"/>
  <c r="J120" i="52"/>
  <c r="C141" i="52"/>
  <c r="C159" i="52"/>
  <c r="L152" i="52"/>
  <c r="L164" i="52"/>
  <c r="L13" i="52" s="1"/>
  <c r="L89" i="46" s="1"/>
  <c r="L155" i="52"/>
  <c r="L149" i="52"/>
  <c r="G171" i="52"/>
  <c r="G168" i="52"/>
  <c r="G183" i="52"/>
  <c r="G14" i="52" s="1"/>
  <c r="G90" i="46" s="1"/>
  <c r="G174" i="52"/>
  <c r="H178" i="52"/>
  <c r="H181" i="52" s="1"/>
  <c r="I159" i="52"/>
  <c r="I141" i="52"/>
  <c r="F164" i="52"/>
  <c r="F13" i="52" s="1"/>
  <c r="F89" i="46" s="1"/>
  <c r="F155" i="52"/>
  <c r="F149" i="52"/>
  <c r="F152" i="52"/>
  <c r="R128" i="52"/>
  <c r="R131" i="52"/>
  <c r="R143" i="52"/>
  <c r="R12" i="52" s="1"/>
  <c r="R88" i="46" s="1"/>
  <c r="R134" i="52"/>
  <c r="I107" i="52"/>
  <c r="I110" i="52"/>
  <c r="I113" i="52"/>
  <c r="I122" i="52"/>
  <c r="I11" i="52" s="1"/>
  <c r="I87" i="46" s="1"/>
  <c r="G155" i="52"/>
  <c r="G164" i="52"/>
  <c r="G13" i="52" s="1"/>
  <c r="G89" i="46" s="1"/>
  <c r="G152" i="52"/>
  <c r="G149" i="52"/>
  <c r="L171" i="52"/>
  <c r="L174" i="52"/>
  <c r="L183" i="52"/>
  <c r="L14" i="52" s="1"/>
  <c r="L90" i="46" s="1"/>
  <c r="L168" i="52"/>
  <c r="F183" i="52"/>
  <c r="F14" i="52" s="1"/>
  <c r="F90" i="46" s="1"/>
  <c r="F168" i="52"/>
  <c r="F171" i="52"/>
  <c r="F174" i="52"/>
  <c r="R162" i="52"/>
  <c r="R178" i="52"/>
  <c r="R181" i="52" s="1"/>
  <c r="Q183" i="52"/>
  <c r="Q14" i="52" s="1"/>
  <c r="Q90" i="46" s="1"/>
  <c r="Q168" i="52"/>
  <c r="Q171" i="52"/>
  <c r="Q174" i="52"/>
  <c r="O155" i="52"/>
  <c r="O164" i="52"/>
  <c r="O13" i="52" s="1"/>
  <c r="O89" i="46" s="1"/>
  <c r="O152" i="52"/>
  <c r="O149" i="52"/>
  <c r="N159" i="52"/>
  <c r="N141" i="52"/>
  <c r="D152" i="52"/>
  <c r="D149" i="52"/>
  <c r="D164" i="52"/>
  <c r="D13" i="52" s="1"/>
  <c r="D89" i="46" s="1"/>
  <c r="D155" i="52"/>
  <c r="Q152" i="52"/>
  <c r="Q155" i="52"/>
  <c r="Q164" i="52"/>
  <c r="Q13" i="52" s="1"/>
  <c r="Q89" i="46" s="1"/>
  <c r="Q149" i="52"/>
  <c r="O171" i="52"/>
  <c r="O174" i="52"/>
  <c r="O183" i="52"/>
  <c r="O14" i="52" s="1"/>
  <c r="O90" i="46" s="1"/>
  <c r="O168" i="52"/>
  <c r="N110" i="52"/>
  <c r="N122" i="52"/>
  <c r="N11" i="52" s="1"/>
  <c r="N87" i="46" s="1"/>
  <c r="N113" i="52"/>
  <c r="N107" i="52"/>
  <c r="D171" i="52"/>
  <c r="D183" i="52"/>
  <c r="D14" i="52" s="1"/>
  <c r="D90" i="46" s="1"/>
  <c r="D174" i="52"/>
  <c r="D168" i="52"/>
  <c r="E58" i="49"/>
  <c r="E8" i="49" s="1"/>
  <c r="E99" i="46" s="1"/>
  <c r="Q89" i="49"/>
  <c r="M117" i="49"/>
  <c r="M120" i="49" s="1"/>
  <c r="M58" i="49"/>
  <c r="M8" i="49" s="1"/>
  <c r="M99" i="46" s="1"/>
  <c r="P77" i="49"/>
  <c r="P9" i="49" s="1"/>
  <c r="P100" i="46" s="1"/>
  <c r="P68" i="49"/>
  <c r="P65" i="49"/>
  <c r="M43" i="49"/>
  <c r="Q117" i="49"/>
  <c r="Q138" i="49" s="1"/>
  <c r="Q141" i="49" s="1"/>
  <c r="L62" i="48"/>
  <c r="O49" i="48"/>
  <c r="L65" i="48"/>
  <c r="J99" i="48"/>
  <c r="J92" i="48" s="1"/>
  <c r="N117" i="48"/>
  <c r="N120" i="48" s="1"/>
  <c r="O58" i="48"/>
  <c r="O8" i="48" s="1"/>
  <c r="O69" i="46" s="1"/>
  <c r="L68" i="48"/>
  <c r="O46" i="48"/>
  <c r="C75" i="48"/>
  <c r="C62" i="48" s="1"/>
  <c r="R43" i="47"/>
  <c r="P120" i="47"/>
  <c r="P107" i="47" s="1"/>
  <c r="R46" i="47"/>
  <c r="K138" i="47"/>
  <c r="K159" i="47" s="1"/>
  <c r="K178" i="47" s="1"/>
  <c r="K181" i="47" s="1"/>
  <c r="K183" i="47" s="1"/>
  <c r="K14" i="47" s="1"/>
  <c r="K60" i="46" s="1"/>
  <c r="L92" i="48"/>
  <c r="L101" i="48"/>
  <c r="L10" i="48" s="1"/>
  <c r="L71" i="46" s="1"/>
  <c r="L89" i="48"/>
  <c r="M75" i="47"/>
  <c r="M68" i="47" s="1"/>
  <c r="E58" i="47"/>
  <c r="E8" i="47" s="1"/>
  <c r="E54" i="46" s="1"/>
  <c r="E49" i="47"/>
  <c r="E46" i="47"/>
  <c r="P99" i="47"/>
  <c r="P101" i="47" s="1"/>
  <c r="P10" i="47" s="1"/>
  <c r="P56" i="46" s="1"/>
  <c r="P75" i="47"/>
  <c r="P77" i="47" s="1"/>
  <c r="P9" i="47" s="1"/>
  <c r="P55" i="46" s="1"/>
  <c r="K57" i="46"/>
  <c r="K72" i="46"/>
  <c r="I86" i="49"/>
  <c r="Q62" i="49"/>
  <c r="M49" i="49"/>
  <c r="I92" i="49"/>
  <c r="E49" i="49"/>
  <c r="M62" i="49"/>
  <c r="M65" i="49"/>
  <c r="N117" i="49"/>
  <c r="N99" i="49"/>
  <c r="M68" i="49"/>
  <c r="I117" i="49"/>
  <c r="I138" i="49" s="1"/>
  <c r="P99" i="49"/>
  <c r="P117" i="49"/>
  <c r="I49" i="48"/>
  <c r="I43" i="48"/>
  <c r="G46" i="48"/>
  <c r="F43" i="48"/>
  <c r="F58" i="48"/>
  <c r="F8" i="48" s="1"/>
  <c r="F69" i="46" s="1"/>
  <c r="F49" i="48"/>
  <c r="G49" i="48"/>
  <c r="G58" i="48"/>
  <c r="G8" i="48" s="1"/>
  <c r="G69" i="46" s="1"/>
  <c r="F117" i="48"/>
  <c r="F99" i="48"/>
  <c r="H77" i="49"/>
  <c r="H9" i="49" s="1"/>
  <c r="H100" i="46" s="1"/>
  <c r="H68" i="49"/>
  <c r="H65" i="49"/>
  <c r="H62" i="49"/>
  <c r="D101" i="49"/>
  <c r="D10" i="49" s="1"/>
  <c r="D101" i="46" s="1"/>
  <c r="D89" i="49"/>
  <c r="D86" i="49"/>
  <c r="D92" i="49"/>
  <c r="O120" i="49"/>
  <c r="O138" i="49"/>
  <c r="D122" i="49"/>
  <c r="D11" i="49" s="1"/>
  <c r="D102" i="46" s="1"/>
  <c r="D113" i="49"/>
  <c r="D107" i="49"/>
  <c r="D110" i="49"/>
  <c r="K117" i="49"/>
  <c r="K99" i="49"/>
  <c r="F58" i="49"/>
  <c r="F8" i="49" s="1"/>
  <c r="F99" i="46" s="1"/>
  <c r="F43" i="49"/>
  <c r="F46" i="49"/>
  <c r="F49" i="49"/>
  <c r="G99" i="49"/>
  <c r="G117" i="49"/>
  <c r="O58" i="49"/>
  <c r="O8" i="49" s="1"/>
  <c r="O99" i="46" s="1"/>
  <c r="O49" i="49"/>
  <c r="O46" i="49"/>
  <c r="O43" i="49"/>
  <c r="E99" i="49"/>
  <c r="E117" i="49"/>
  <c r="G77" i="49"/>
  <c r="G9" i="49" s="1"/>
  <c r="G100" i="46" s="1"/>
  <c r="G65" i="49"/>
  <c r="G62" i="49"/>
  <c r="G68" i="49"/>
  <c r="K46" i="49"/>
  <c r="K58" i="49"/>
  <c r="K8" i="49" s="1"/>
  <c r="K99" i="46" s="1"/>
  <c r="K43" i="49"/>
  <c r="K49" i="49"/>
  <c r="R101" i="49"/>
  <c r="R10" i="49" s="1"/>
  <c r="R101" i="46" s="1"/>
  <c r="R92" i="49"/>
  <c r="R89" i="49"/>
  <c r="R86" i="49"/>
  <c r="D159" i="49"/>
  <c r="D141" i="49"/>
  <c r="C58" i="49"/>
  <c r="C8" i="49" s="1"/>
  <c r="C99" i="46" s="1"/>
  <c r="C46" i="49"/>
  <c r="C43" i="49"/>
  <c r="C49" i="49"/>
  <c r="R68" i="49"/>
  <c r="R77" i="49"/>
  <c r="R9" i="49" s="1"/>
  <c r="R100" i="46" s="1"/>
  <c r="R65" i="49"/>
  <c r="R62" i="49"/>
  <c r="L120" i="49"/>
  <c r="L138" i="49"/>
  <c r="R120" i="49"/>
  <c r="R138" i="49"/>
  <c r="F75" i="49"/>
  <c r="F96" i="49"/>
  <c r="O77" i="49"/>
  <c r="O9" i="49" s="1"/>
  <c r="O100" i="46" s="1"/>
  <c r="O68" i="49"/>
  <c r="O65" i="49"/>
  <c r="O62" i="49"/>
  <c r="C75" i="49"/>
  <c r="C96" i="49"/>
  <c r="M101" i="49"/>
  <c r="M10" i="49" s="1"/>
  <c r="M101" i="46" s="1"/>
  <c r="M89" i="49"/>
  <c r="M92" i="49"/>
  <c r="M86" i="49"/>
  <c r="D99" i="48"/>
  <c r="D117" i="48"/>
  <c r="E58" i="48"/>
  <c r="E8" i="48" s="1"/>
  <c r="E69" i="46" s="1"/>
  <c r="E46" i="48"/>
  <c r="E49" i="48"/>
  <c r="E43" i="48"/>
  <c r="K99" i="48"/>
  <c r="K117" i="48"/>
  <c r="L141" i="48"/>
  <c r="L159" i="48"/>
  <c r="K58" i="48"/>
  <c r="K8" i="48" s="1"/>
  <c r="K69" i="46" s="1"/>
  <c r="K46" i="48"/>
  <c r="K49" i="48"/>
  <c r="K43" i="48"/>
  <c r="C99" i="48"/>
  <c r="C117" i="48"/>
  <c r="I138" i="48"/>
  <c r="I120" i="48"/>
  <c r="I65" i="48"/>
  <c r="I77" i="48"/>
  <c r="I9" i="48" s="1"/>
  <c r="I70" i="46" s="1"/>
  <c r="I68" i="48"/>
  <c r="I62" i="48"/>
  <c r="L113" i="48"/>
  <c r="L122" i="48"/>
  <c r="L11" i="48" s="1"/>
  <c r="L107" i="48"/>
  <c r="L110" i="48"/>
  <c r="Q58" i="48"/>
  <c r="Q8" i="48" s="1"/>
  <c r="Q69" i="46" s="1"/>
  <c r="Q49" i="48"/>
  <c r="Q46" i="48"/>
  <c r="Q43" i="48"/>
  <c r="I101" i="48"/>
  <c r="I10" i="48" s="1"/>
  <c r="I71" i="46" s="1"/>
  <c r="I89" i="48"/>
  <c r="I92" i="48"/>
  <c r="I86" i="48"/>
  <c r="G65" i="48"/>
  <c r="G62" i="48"/>
  <c r="G77" i="48"/>
  <c r="G9" i="48" s="1"/>
  <c r="G70" i="46" s="1"/>
  <c r="G68" i="48"/>
  <c r="P99" i="48"/>
  <c r="P117" i="48"/>
  <c r="N46" i="48"/>
  <c r="N58" i="48"/>
  <c r="N8" i="48" s="1"/>
  <c r="N69" i="46" s="1"/>
  <c r="N49" i="48"/>
  <c r="N43" i="48"/>
  <c r="G117" i="48"/>
  <c r="G99" i="48"/>
  <c r="Q75" i="48"/>
  <c r="Q96" i="48"/>
  <c r="N92" i="48"/>
  <c r="N89" i="48"/>
  <c r="N86" i="48"/>
  <c r="N101" i="48"/>
  <c r="N10" i="48" s="1"/>
  <c r="N71" i="46" s="1"/>
  <c r="O99" i="48"/>
  <c r="O117" i="48"/>
  <c r="O77" i="48"/>
  <c r="O9" i="48" s="1"/>
  <c r="O70" i="46" s="1"/>
  <c r="O65" i="48"/>
  <c r="O62" i="48"/>
  <c r="O68" i="48"/>
  <c r="K77" i="48"/>
  <c r="K9" i="48" s="1"/>
  <c r="K70" i="46" s="1"/>
  <c r="K65" i="48"/>
  <c r="K68" i="48"/>
  <c r="K62" i="48"/>
  <c r="E96" i="48"/>
  <c r="E75" i="48"/>
  <c r="J120" i="48"/>
  <c r="J138" i="48"/>
  <c r="M99" i="47"/>
  <c r="M117" i="47"/>
  <c r="E117" i="47"/>
  <c r="E99" i="47"/>
  <c r="J122" i="47"/>
  <c r="J11" i="47" s="1"/>
  <c r="J113" i="47"/>
  <c r="J110" i="47"/>
  <c r="J107" i="47"/>
  <c r="P110" i="47"/>
  <c r="H75" i="47"/>
  <c r="H96" i="47"/>
  <c r="E68" i="47"/>
  <c r="E77" i="47"/>
  <c r="E9" i="47" s="1"/>
  <c r="E55" i="46" s="1"/>
  <c r="E65" i="47"/>
  <c r="E62" i="47"/>
  <c r="R117" i="47"/>
  <c r="R99" i="47"/>
  <c r="D159" i="47"/>
  <c r="D141" i="47"/>
  <c r="R65" i="47"/>
  <c r="R62" i="47"/>
  <c r="R77" i="47"/>
  <c r="R9" i="47" s="1"/>
  <c r="R55" i="46" s="1"/>
  <c r="R68" i="47"/>
  <c r="D107" i="47"/>
  <c r="D113" i="47"/>
  <c r="D110" i="47"/>
  <c r="D122" i="47"/>
  <c r="D11" i="47" s="1"/>
  <c r="J159" i="47"/>
  <c r="D89" i="47"/>
  <c r="I56" i="47"/>
  <c r="I72" i="47"/>
  <c r="P159" i="47"/>
  <c r="P141" i="47"/>
  <c r="Q56" i="47"/>
  <c r="Q72" i="47"/>
  <c r="J92" i="47" l="1"/>
  <c r="L68" i="49"/>
  <c r="C99" i="47"/>
  <c r="C117" i="47"/>
  <c r="G117" i="47"/>
  <c r="G99" i="47"/>
  <c r="F46" i="47"/>
  <c r="F58" i="47"/>
  <c r="F8" i="47" s="1"/>
  <c r="F54" i="46" s="1"/>
  <c r="F49" i="47"/>
  <c r="F43" i="47"/>
  <c r="L62" i="49"/>
  <c r="C68" i="47"/>
  <c r="C77" i="47"/>
  <c r="C9" i="47" s="1"/>
  <c r="C55" i="46" s="1"/>
  <c r="C62" i="47"/>
  <c r="C65" i="47"/>
  <c r="J101" i="47"/>
  <c r="J10" i="47" s="1"/>
  <c r="J56" i="46" s="1"/>
  <c r="L77" i="49"/>
  <c r="L9" i="49" s="1"/>
  <c r="L100" i="46" s="1"/>
  <c r="G65" i="47"/>
  <c r="G62" i="47"/>
  <c r="G77" i="47"/>
  <c r="G9" i="47" s="1"/>
  <c r="G55" i="46" s="1"/>
  <c r="G68" i="47"/>
  <c r="L99" i="47"/>
  <c r="L117" i="47"/>
  <c r="D86" i="47"/>
  <c r="D92" i="47"/>
  <c r="N96" i="47"/>
  <c r="N75" i="47"/>
  <c r="L65" i="47"/>
  <c r="L77" i="47"/>
  <c r="L9" i="47" s="1"/>
  <c r="L55" i="46" s="1"/>
  <c r="L62" i="47"/>
  <c r="L68" i="47"/>
  <c r="J89" i="47"/>
  <c r="F96" i="47"/>
  <c r="F75" i="47"/>
  <c r="N58" i="47"/>
  <c r="N8" i="47" s="1"/>
  <c r="N54" i="46" s="1"/>
  <c r="N46" i="47"/>
  <c r="N43" i="47"/>
  <c r="N49" i="47"/>
  <c r="J117" i="49"/>
  <c r="J120" i="49" s="1"/>
  <c r="I77" i="49"/>
  <c r="I9" i="49" s="1"/>
  <c r="I100" i="46" s="1"/>
  <c r="I65" i="49"/>
  <c r="H65" i="48"/>
  <c r="O159" i="47"/>
  <c r="P122" i="47"/>
  <c r="P11" i="47" s="1"/>
  <c r="O120" i="47"/>
  <c r="O122" i="47" s="1"/>
  <c r="O11" i="47" s="1"/>
  <c r="O57" i="46" s="1"/>
  <c r="K168" i="47"/>
  <c r="P113" i="47"/>
  <c r="P92" i="47"/>
  <c r="H99" i="49"/>
  <c r="H101" i="49" s="1"/>
  <c r="H10" i="49" s="1"/>
  <c r="H101" i="46" s="1"/>
  <c r="I62" i="49"/>
  <c r="I120" i="49"/>
  <c r="I122" i="49" s="1"/>
  <c r="I11" i="49" s="1"/>
  <c r="I102" i="46" s="1"/>
  <c r="M138" i="49"/>
  <c r="M159" i="49" s="1"/>
  <c r="H159" i="48"/>
  <c r="H162" i="48" s="1"/>
  <c r="H68" i="48"/>
  <c r="H120" i="48"/>
  <c r="H110" i="48" s="1"/>
  <c r="M117" i="48"/>
  <c r="M138" i="48" s="1"/>
  <c r="J101" i="48"/>
  <c r="J10" i="48" s="1"/>
  <c r="J71" i="46" s="1"/>
  <c r="C65" i="48"/>
  <c r="P68" i="48"/>
  <c r="P62" i="48"/>
  <c r="P65" i="48"/>
  <c r="N138" i="48"/>
  <c r="N159" i="48" s="1"/>
  <c r="R159" i="48"/>
  <c r="R178" i="48" s="1"/>
  <c r="R181" i="48" s="1"/>
  <c r="I162" i="52"/>
  <c r="I178" i="52"/>
  <c r="I181" i="52" s="1"/>
  <c r="N162" i="52"/>
  <c r="N178" i="52"/>
  <c r="N181" i="52" s="1"/>
  <c r="C178" i="52"/>
  <c r="C181" i="52" s="1"/>
  <c r="C162" i="52"/>
  <c r="K162" i="52"/>
  <c r="K178" i="52"/>
  <c r="K181" i="52" s="1"/>
  <c r="R174" i="52"/>
  <c r="R183" i="52"/>
  <c r="R14" i="52" s="1"/>
  <c r="R90" i="46" s="1"/>
  <c r="R171" i="52"/>
  <c r="R168" i="52"/>
  <c r="C131" i="52"/>
  <c r="C128" i="52"/>
  <c r="C143" i="52"/>
  <c r="C12" i="52" s="1"/>
  <c r="C88" i="46" s="1"/>
  <c r="C134" i="52"/>
  <c r="K128" i="52"/>
  <c r="K143" i="52"/>
  <c r="K12" i="52" s="1"/>
  <c r="K88" i="46" s="1"/>
  <c r="K131" i="52"/>
  <c r="K134" i="52"/>
  <c r="N143" i="52"/>
  <c r="N12" i="52" s="1"/>
  <c r="N88" i="46" s="1"/>
  <c r="N131" i="52"/>
  <c r="N128" i="52"/>
  <c r="N134" i="52"/>
  <c r="H183" i="52"/>
  <c r="H14" i="52" s="1"/>
  <c r="H90" i="46" s="1"/>
  <c r="H174" i="52"/>
  <c r="H171" i="52"/>
  <c r="H168" i="52"/>
  <c r="J141" i="52"/>
  <c r="J159" i="52"/>
  <c r="H164" i="52"/>
  <c r="H13" i="52" s="1"/>
  <c r="H89" i="46" s="1"/>
  <c r="H152" i="52"/>
  <c r="H155" i="52"/>
  <c r="H149" i="52"/>
  <c r="R164" i="52"/>
  <c r="R13" i="52" s="1"/>
  <c r="R89" i="46" s="1"/>
  <c r="R152" i="52"/>
  <c r="R155" i="52"/>
  <c r="R149" i="52"/>
  <c r="J122" i="52"/>
  <c r="J11" i="52" s="1"/>
  <c r="J87" i="46" s="1"/>
  <c r="J113" i="52"/>
  <c r="J110" i="52"/>
  <c r="J107" i="52"/>
  <c r="I143" i="52"/>
  <c r="I12" i="52" s="1"/>
  <c r="I88" i="46" s="1"/>
  <c r="I134" i="52"/>
  <c r="I131" i="52"/>
  <c r="I128" i="52"/>
  <c r="Q120" i="49"/>
  <c r="Q113" i="49" s="1"/>
  <c r="Q159" i="49"/>
  <c r="Q178" i="49" s="1"/>
  <c r="Q181" i="49" s="1"/>
  <c r="C68" i="48"/>
  <c r="J89" i="48"/>
  <c r="C77" i="48"/>
  <c r="C9" i="48" s="1"/>
  <c r="C70" i="46" s="1"/>
  <c r="J86" i="48"/>
  <c r="M86" i="48"/>
  <c r="M101" i="48"/>
  <c r="M10" i="48" s="1"/>
  <c r="M71" i="46" s="1"/>
  <c r="M92" i="48"/>
  <c r="M89" i="48"/>
  <c r="M62" i="47"/>
  <c r="P68" i="47"/>
  <c r="M65" i="47"/>
  <c r="K171" i="47"/>
  <c r="M77" i="47"/>
  <c r="M9" i="47" s="1"/>
  <c r="M55" i="46" s="1"/>
  <c r="K174" i="47"/>
  <c r="K141" i="47"/>
  <c r="K162" i="47"/>
  <c r="K155" i="47" s="1"/>
  <c r="P65" i="47"/>
  <c r="D72" i="46"/>
  <c r="D57" i="46"/>
  <c r="P62" i="47"/>
  <c r="P86" i="47"/>
  <c r="P89" i="47"/>
  <c r="P72" i="46"/>
  <c r="P57" i="46"/>
  <c r="J57" i="46"/>
  <c r="J72" i="46"/>
  <c r="N120" i="49"/>
  <c r="N138" i="49"/>
  <c r="P120" i="49"/>
  <c r="P138" i="49"/>
  <c r="P92" i="49"/>
  <c r="P101" i="49"/>
  <c r="P10" i="49" s="1"/>
  <c r="P101" i="46" s="1"/>
  <c r="P89" i="49"/>
  <c r="P86" i="49"/>
  <c r="N101" i="49"/>
  <c r="N10" i="49" s="1"/>
  <c r="N101" i="46" s="1"/>
  <c r="N89" i="49"/>
  <c r="N86" i="49"/>
  <c r="N92" i="49"/>
  <c r="F92" i="48"/>
  <c r="F89" i="48"/>
  <c r="F86" i="48"/>
  <c r="F101" i="48"/>
  <c r="F10" i="48" s="1"/>
  <c r="F71" i="46" s="1"/>
  <c r="F120" i="48"/>
  <c r="F138" i="48"/>
  <c r="H120" i="49"/>
  <c r="H138" i="49"/>
  <c r="L159" i="49"/>
  <c r="L141" i="49"/>
  <c r="E120" i="49"/>
  <c r="E138" i="49"/>
  <c r="C77" i="49"/>
  <c r="C9" i="49" s="1"/>
  <c r="C100" i="46" s="1"/>
  <c r="C68" i="49"/>
  <c r="C65" i="49"/>
  <c r="C62" i="49"/>
  <c r="L122" i="49"/>
  <c r="L11" i="49" s="1"/>
  <c r="L102" i="46" s="1"/>
  <c r="L113" i="49"/>
  <c r="L107" i="49"/>
  <c r="L110" i="49"/>
  <c r="Q143" i="49"/>
  <c r="Q12" i="49" s="1"/>
  <c r="Q103" i="46" s="1"/>
  <c r="Q134" i="49"/>
  <c r="Q131" i="49"/>
  <c r="Q128" i="49"/>
  <c r="J101" i="49"/>
  <c r="J10" i="49" s="1"/>
  <c r="J101" i="46" s="1"/>
  <c r="J92" i="49"/>
  <c r="J89" i="49"/>
  <c r="J86" i="49"/>
  <c r="E92" i="49"/>
  <c r="E101" i="49"/>
  <c r="E10" i="49" s="1"/>
  <c r="E101" i="46" s="1"/>
  <c r="E89" i="49"/>
  <c r="E86" i="49"/>
  <c r="O159" i="49"/>
  <c r="O141" i="49"/>
  <c r="O122" i="49"/>
  <c r="O11" i="49" s="1"/>
  <c r="O102" i="46" s="1"/>
  <c r="O113" i="49"/>
  <c r="O110" i="49"/>
  <c r="O107" i="49"/>
  <c r="R141" i="49"/>
  <c r="R159" i="49"/>
  <c r="K89" i="49"/>
  <c r="K92" i="49"/>
  <c r="K86" i="49"/>
  <c r="K101" i="49"/>
  <c r="K10" i="49" s="1"/>
  <c r="K101" i="46" s="1"/>
  <c r="R122" i="49"/>
  <c r="R11" i="49" s="1"/>
  <c r="R102" i="46" s="1"/>
  <c r="R107" i="49"/>
  <c r="R113" i="49"/>
  <c r="R110" i="49"/>
  <c r="K120" i="49"/>
  <c r="K138" i="49"/>
  <c r="F99" i="49"/>
  <c r="F117" i="49"/>
  <c r="H89" i="49"/>
  <c r="H92" i="49"/>
  <c r="D134" i="49"/>
  <c r="D143" i="49"/>
  <c r="D12" i="49" s="1"/>
  <c r="D103" i="46" s="1"/>
  <c r="D131" i="49"/>
  <c r="D128" i="49"/>
  <c r="G120" i="49"/>
  <c r="G138" i="49"/>
  <c r="M122" i="49"/>
  <c r="M11" i="49" s="1"/>
  <c r="M102" i="46" s="1"/>
  <c r="M113" i="49"/>
  <c r="M107" i="49"/>
  <c r="M110" i="49"/>
  <c r="G101" i="49"/>
  <c r="G10" i="49" s="1"/>
  <c r="G101" i="46" s="1"/>
  <c r="G89" i="49"/>
  <c r="G92" i="49"/>
  <c r="G86" i="49"/>
  <c r="D162" i="49"/>
  <c r="D178" i="49"/>
  <c r="D181" i="49" s="1"/>
  <c r="F77" i="49"/>
  <c r="F9" i="49" s="1"/>
  <c r="F100" i="46" s="1"/>
  <c r="F68" i="49"/>
  <c r="F62" i="49"/>
  <c r="F65" i="49"/>
  <c r="I141" i="49"/>
  <c r="I159" i="49"/>
  <c r="C117" i="49"/>
  <c r="C99" i="49"/>
  <c r="J141" i="48"/>
  <c r="J159" i="48"/>
  <c r="P101" i="48"/>
  <c r="P10" i="48" s="1"/>
  <c r="P71" i="46" s="1"/>
  <c r="P89" i="48"/>
  <c r="P86" i="48"/>
  <c r="P92" i="48"/>
  <c r="I141" i="48"/>
  <c r="I159" i="48"/>
  <c r="K101" i="48"/>
  <c r="K10" i="48" s="1"/>
  <c r="K71" i="46" s="1"/>
  <c r="K89" i="48"/>
  <c r="K92" i="48"/>
  <c r="K86" i="48"/>
  <c r="J122" i="48"/>
  <c r="J11" i="48" s="1"/>
  <c r="J113" i="48"/>
  <c r="J110" i="48"/>
  <c r="J107" i="48"/>
  <c r="G101" i="48"/>
  <c r="G10" i="48" s="1"/>
  <c r="G71" i="46" s="1"/>
  <c r="G89" i="48"/>
  <c r="G86" i="48"/>
  <c r="G92" i="48"/>
  <c r="C138" i="48"/>
  <c r="C120" i="48"/>
  <c r="G120" i="48"/>
  <c r="G138" i="48"/>
  <c r="N110" i="48"/>
  <c r="N113" i="48"/>
  <c r="N122" i="48"/>
  <c r="N11" i="48" s="1"/>
  <c r="N107" i="48"/>
  <c r="C101" i="48"/>
  <c r="C10" i="48" s="1"/>
  <c r="C71" i="46" s="1"/>
  <c r="C89" i="48"/>
  <c r="C92" i="48"/>
  <c r="C86" i="48"/>
  <c r="H143" i="48"/>
  <c r="H12" i="48" s="1"/>
  <c r="H73" i="46" s="1"/>
  <c r="H131" i="48"/>
  <c r="H128" i="48"/>
  <c r="H134" i="48"/>
  <c r="I122" i="48"/>
  <c r="I11" i="48" s="1"/>
  <c r="I113" i="48"/>
  <c r="I110" i="48"/>
  <c r="I107" i="48"/>
  <c r="L134" i="48"/>
  <c r="L143" i="48"/>
  <c r="L12" i="48" s="1"/>
  <c r="L73" i="46" s="1"/>
  <c r="L131" i="48"/>
  <c r="L128" i="48"/>
  <c r="K120" i="48"/>
  <c r="K138" i="48"/>
  <c r="E77" i="48"/>
  <c r="E9" i="48" s="1"/>
  <c r="E70" i="46" s="1"/>
  <c r="E68" i="48"/>
  <c r="E65" i="48"/>
  <c r="E62" i="48"/>
  <c r="L178" i="48"/>
  <c r="L181" i="48" s="1"/>
  <c r="L162" i="48"/>
  <c r="E99" i="48"/>
  <c r="E117" i="48"/>
  <c r="Q65" i="48"/>
  <c r="Q68" i="48"/>
  <c r="Q62" i="48"/>
  <c r="Q77" i="48"/>
  <c r="Q9" i="48" s="1"/>
  <c r="Q70" i="46" s="1"/>
  <c r="O120" i="48"/>
  <c r="O138" i="48"/>
  <c r="D120" i="48"/>
  <c r="D138" i="48"/>
  <c r="P120" i="48"/>
  <c r="P138" i="48"/>
  <c r="Q117" i="48"/>
  <c r="Q99" i="48"/>
  <c r="O101" i="48"/>
  <c r="O10" i="48" s="1"/>
  <c r="O71" i="46" s="1"/>
  <c r="O92" i="48"/>
  <c r="O89" i="48"/>
  <c r="O86" i="48"/>
  <c r="R143" i="48"/>
  <c r="R12" i="48" s="1"/>
  <c r="R73" i="46" s="1"/>
  <c r="R131" i="48"/>
  <c r="R128" i="48"/>
  <c r="R134" i="48"/>
  <c r="D101" i="48"/>
  <c r="D10" i="48" s="1"/>
  <c r="D71" i="46" s="1"/>
  <c r="D92" i="48"/>
  <c r="D86" i="48"/>
  <c r="D89" i="48"/>
  <c r="H99" i="47"/>
  <c r="H117" i="47"/>
  <c r="O178" i="47"/>
  <c r="O181" i="47" s="1"/>
  <c r="O162" i="47"/>
  <c r="P178" i="47"/>
  <c r="P181" i="47" s="1"/>
  <c r="P162" i="47"/>
  <c r="J131" i="47"/>
  <c r="J128" i="47"/>
  <c r="J143" i="47"/>
  <c r="J12" i="47" s="1"/>
  <c r="J58" i="46" s="1"/>
  <c r="J134" i="47"/>
  <c r="H77" i="47"/>
  <c r="H9" i="47" s="1"/>
  <c r="H55" i="46" s="1"/>
  <c r="H68" i="47"/>
  <c r="H62" i="47"/>
  <c r="H65" i="47"/>
  <c r="I96" i="47"/>
  <c r="I75" i="47"/>
  <c r="I58" i="47"/>
  <c r="I8" i="47" s="1"/>
  <c r="I54" i="46" s="1"/>
  <c r="I46" i="47"/>
  <c r="I49" i="47"/>
  <c r="I43" i="47"/>
  <c r="D143" i="47"/>
  <c r="D12" i="47" s="1"/>
  <c r="D58" i="46" s="1"/>
  <c r="D134" i="47"/>
  <c r="D131" i="47"/>
  <c r="D128" i="47"/>
  <c r="E101" i="47"/>
  <c r="E10" i="47" s="1"/>
  <c r="E56" i="46" s="1"/>
  <c r="E86" i="47"/>
  <c r="E92" i="47"/>
  <c r="E89" i="47"/>
  <c r="O143" i="47"/>
  <c r="O12" i="47" s="1"/>
  <c r="O58" i="46" s="1"/>
  <c r="O134" i="47"/>
  <c r="O128" i="47"/>
  <c r="O131" i="47"/>
  <c r="D162" i="47"/>
  <c r="D178" i="47"/>
  <c r="D181" i="47" s="1"/>
  <c r="E120" i="47"/>
  <c r="E138" i="47"/>
  <c r="R89" i="47"/>
  <c r="R101" i="47"/>
  <c r="R10" i="47" s="1"/>
  <c r="R56" i="46" s="1"/>
  <c r="R92" i="47"/>
  <c r="R86" i="47"/>
  <c r="M120" i="47"/>
  <c r="M138" i="47"/>
  <c r="P128" i="47"/>
  <c r="P134" i="47"/>
  <c r="P143" i="47"/>
  <c r="P12" i="47" s="1"/>
  <c r="P58" i="46" s="1"/>
  <c r="P131" i="47"/>
  <c r="Q96" i="47"/>
  <c r="Q75" i="47"/>
  <c r="Q58" i="47"/>
  <c r="Q8" i="47" s="1"/>
  <c r="Q54" i="46" s="1"/>
  <c r="Q46" i="47"/>
  <c r="Q43" i="47"/>
  <c r="Q49" i="47"/>
  <c r="R120" i="47"/>
  <c r="R138" i="47"/>
  <c r="M89" i="47"/>
  <c r="M101" i="47"/>
  <c r="M10" i="47" s="1"/>
  <c r="M56" i="46" s="1"/>
  <c r="M86" i="47"/>
  <c r="M92" i="47"/>
  <c r="J178" i="47"/>
  <c r="J181" i="47" s="1"/>
  <c r="J162" i="47"/>
  <c r="G92" i="47" l="1"/>
  <c r="G101" i="47"/>
  <c r="G10" i="47" s="1"/>
  <c r="G56" i="46" s="1"/>
  <c r="G89" i="47"/>
  <c r="G86" i="47"/>
  <c r="G120" i="47"/>
  <c r="G138" i="47"/>
  <c r="C120" i="47"/>
  <c r="C138" i="47"/>
  <c r="N65" i="47"/>
  <c r="N68" i="47"/>
  <c r="N62" i="47"/>
  <c r="N77" i="47"/>
  <c r="N9" i="47" s="1"/>
  <c r="N55" i="46" s="1"/>
  <c r="C101" i="47"/>
  <c r="C10" i="47" s="1"/>
  <c r="C56" i="46" s="1"/>
  <c r="C86" i="47"/>
  <c r="C89" i="47"/>
  <c r="C92" i="47"/>
  <c r="L138" i="47"/>
  <c r="L120" i="47"/>
  <c r="L92" i="47"/>
  <c r="L86" i="47"/>
  <c r="L101" i="47"/>
  <c r="L10" i="47" s="1"/>
  <c r="L56" i="46" s="1"/>
  <c r="L89" i="47"/>
  <c r="F65" i="47"/>
  <c r="F62" i="47"/>
  <c r="F77" i="47"/>
  <c r="F9" i="47" s="1"/>
  <c r="F55" i="46" s="1"/>
  <c r="F68" i="47"/>
  <c r="N117" i="47"/>
  <c r="N99" i="47"/>
  <c r="O110" i="47"/>
  <c r="O107" i="47"/>
  <c r="F99" i="47"/>
  <c r="F117" i="47"/>
  <c r="J138" i="49"/>
  <c r="J159" i="49" s="1"/>
  <c r="Q122" i="49"/>
  <c r="Q11" i="49" s="1"/>
  <c r="Q102" i="46" s="1"/>
  <c r="Q162" i="49"/>
  <c r="Q152" i="49" s="1"/>
  <c r="H178" i="48"/>
  <c r="H181" i="48" s="1"/>
  <c r="H183" i="48" s="1"/>
  <c r="H14" i="48" s="1"/>
  <c r="H75" i="46" s="1"/>
  <c r="O72" i="46"/>
  <c r="O113" i="47"/>
  <c r="I107" i="49"/>
  <c r="I110" i="49"/>
  <c r="H122" i="48"/>
  <c r="H11" i="48" s="1"/>
  <c r="H107" i="48"/>
  <c r="I113" i="49"/>
  <c r="M120" i="48"/>
  <c r="M122" i="48" s="1"/>
  <c r="M11" i="48" s="1"/>
  <c r="H86" i="49"/>
  <c r="M141" i="49"/>
  <c r="M134" i="49" s="1"/>
  <c r="Q107" i="49"/>
  <c r="Q110" i="49"/>
  <c r="K149" i="47"/>
  <c r="H113" i="48"/>
  <c r="N141" i="48"/>
  <c r="N131" i="48" s="1"/>
  <c r="R162" i="48"/>
  <c r="R164" i="48" s="1"/>
  <c r="R13" i="48" s="1"/>
  <c r="R74" i="46" s="1"/>
  <c r="K164" i="52"/>
  <c r="K13" i="52" s="1"/>
  <c r="K89" i="46" s="1"/>
  <c r="K149" i="52"/>
  <c r="K155" i="52"/>
  <c r="K152" i="52"/>
  <c r="J162" i="52"/>
  <c r="J178" i="52"/>
  <c r="J181" i="52" s="1"/>
  <c r="C164" i="52"/>
  <c r="C13" i="52" s="1"/>
  <c r="C89" i="46" s="1"/>
  <c r="C152" i="52"/>
  <c r="C155" i="52"/>
  <c r="C149" i="52"/>
  <c r="J128" i="52"/>
  <c r="J131" i="52"/>
  <c r="J143" i="52"/>
  <c r="J12" i="52" s="1"/>
  <c r="J88" i="46" s="1"/>
  <c r="J134" i="52"/>
  <c r="C183" i="52"/>
  <c r="C14" i="52" s="1"/>
  <c r="C90" i="46" s="1"/>
  <c r="C171" i="52"/>
  <c r="C168" i="52"/>
  <c r="C174" i="52"/>
  <c r="K183" i="52"/>
  <c r="K14" i="52" s="1"/>
  <c r="K90" i="46" s="1"/>
  <c r="K171" i="52"/>
  <c r="K168" i="52"/>
  <c r="K174" i="52"/>
  <c r="N183" i="52"/>
  <c r="N14" i="52" s="1"/>
  <c r="N90" i="46" s="1"/>
  <c r="N171" i="52"/>
  <c r="N168" i="52"/>
  <c r="N174" i="52"/>
  <c r="N164" i="52"/>
  <c r="N13" i="52" s="1"/>
  <c r="N89" i="46" s="1"/>
  <c r="N149" i="52"/>
  <c r="N152" i="52"/>
  <c r="N155" i="52"/>
  <c r="I183" i="52"/>
  <c r="I14" i="52" s="1"/>
  <c r="I90" i="46" s="1"/>
  <c r="I171" i="52"/>
  <c r="I174" i="52"/>
  <c r="I168" i="52"/>
  <c r="I152" i="52"/>
  <c r="I155" i="52"/>
  <c r="I164" i="52"/>
  <c r="I13" i="52" s="1"/>
  <c r="I89" i="46" s="1"/>
  <c r="I149" i="52"/>
  <c r="M141" i="48"/>
  <c r="M159" i="48"/>
  <c r="K128" i="47"/>
  <c r="K131" i="47"/>
  <c r="K134" i="47"/>
  <c r="K143" i="47"/>
  <c r="K12" i="47" s="1"/>
  <c r="K58" i="46" s="1"/>
  <c r="K164" i="47"/>
  <c r="K13" i="47" s="1"/>
  <c r="K59" i="46" s="1"/>
  <c r="K152" i="47"/>
  <c r="P159" i="49"/>
  <c r="P141" i="49"/>
  <c r="P122" i="49"/>
  <c r="P11" i="49" s="1"/>
  <c r="P102" i="46" s="1"/>
  <c r="P107" i="49"/>
  <c r="P110" i="49"/>
  <c r="P113" i="49"/>
  <c r="N141" i="49"/>
  <c r="N159" i="49"/>
  <c r="N113" i="49"/>
  <c r="N122" i="49"/>
  <c r="N11" i="49" s="1"/>
  <c r="N102" i="46" s="1"/>
  <c r="N110" i="49"/>
  <c r="N107" i="49"/>
  <c r="F110" i="48"/>
  <c r="F122" i="48"/>
  <c r="F11" i="48" s="1"/>
  <c r="F113" i="48"/>
  <c r="F107" i="48"/>
  <c r="F141" i="48"/>
  <c r="F159" i="48"/>
  <c r="I143" i="49"/>
  <c r="I12" i="49" s="1"/>
  <c r="I103" i="46" s="1"/>
  <c r="I131" i="49"/>
  <c r="I128" i="49"/>
  <c r="I134" i="49"/>
  <c r="G122" i="49"/>
  <c r="G11" i="49" s="1"/>
  <c r="G102" i="46" s="1"/>
  <c r="G113" i="49"/>
  <c r="G107" i="49"/>
  <c r="G110" i="49"/>
  <c r="K159" i="49"/>
  <c r="K141" i="49"/>
  <c r="E159" i="49"/>
  <c r="E141" i="49"/>
  <c r="M162" i="49"/>
  <c r="M178" i="49"/>
  <c r="M181" i="49" s="1"/>
  <c r="K122" i="49"/>
  <c r="K11" i="49" s="1"/>
  <c r="K102" i="46" s="1"/>
  <c r="K113" i="49"/>
  <c r="K110" i="49"/>
  <c r="K107" i="49"/>
  <c r="E122" i="49"/>
  <c r="E11" i="49" s="1"/>
  <c r="E102" i="46" s="1"/>
  <c r="E113" i="49"/>
  <c r="E107" i="49"/>
  <c r="E110" i="49"/>
  <c r="L178" i="49"/>
  <c r="L181" i="49" s="1"/>
  <c r="L162" i="49"/>
  <c r="R178" i="49"/>
  <c r="R181" i="49" s="1"/>
  <c r="R162" i="49"/>
  <c r="H159" i="49"/>
  <c r="H141" i="49"/>
  <c r="R143" i="49"/>
  <c r="R12" i="49" s="1"/>
  <c r="R103" i="46" s="1"/>
  <c r="R134" i="49"/>
  <c r="R131" i="49"/>
  <c r="R128" i="49"/>
  <c r="H122" i="49"/>
  <c r="H11" i="49" s="1"/>
  <c r="H102" i="46" s="1"/>
  <c r="H107" i="49"/>
  <c r="H113" i="49"/>
  <c r="H110" i="49"/>
  <c r="C89" i="49"/>
  <c r="C92" i="49"/>
  <c r="C86" i="49"/>
  <c r="C101" i="49"/>
  <c r="C10" i="49" s="1"/>
  <c r="C101" i="46" s="1"/>
  <c r="D171" i="49"/>
  <c r="D168" i="49"/>
  <c r="D183" i="49"/>
  <c r="D14" i="49" s="1"/>
  <c r="D105" i="46" s="1"/>
  <c r="D174" i="49"/>
  <c r="O131" i="49"/>
  <c r="O134" i="49"/>
  <c r="O143" i="49"/>
  <c r="O12" i="49" s="1"/>
  <c r="O103" i="46" s="1"/>
  <c r="O128" i="49"/>
  <c r="J141" i="49"/>
  <c r="C138" i="49"/>
  <c r="C120" i="49"/>
  <c r="D164" i="49"/>
  <c r="D13" i="49" s="1"/>
  <c r="D104" i="46" s="1"/>
  <c r="D152" i="49"/>
  <c r="D155" i="49"/>
  <c r="D149" i="49"/>
  <c r="O162" i="49"/>
  <c r="O178" i="49"/>
  <c r="O181" i="49" s="1"/>
  <c r="J122" i="49"/>
  <c r="J11" i="49" s="1"/>
  <c r="J102" i="46" s="1"/>
  <c r="J113" i="49"/>
  <c r="J110" i="49"/>
  <c r="J107" i="49"/>
  <c r="I178" i="49"/>
  <c r="I181" i="49" s="1"/>
  <c r="I162" i="49"/>
  <c r="G141" i="49"/>
  <c r="G159" i="49"/>
  <c r="F120" i="49"/>
  <c r="F138" i="49"/>
  <c r="L134" i="49"/>
  <c r="L143" i="49"/>
  <c r="L12" i="49" s="1"/>
  <c r="L103" i="46" s="1"/>
  <c r="L131" i="49"/>
  <c r="L128" i="49"/>
  <c r="F101" i="49"/>
  <c r="F10" i="49" s="1"/>
  <c r="F101" i="46" s="1"/>
  <c r="F89" i="49"/>
  <c r="F86" i="49"/>
  <c r="F92" i="49"/>
  <c r="Q174" i="49"/>
  <c r="Q183" i="49"/>
  <c r="Q14" i="49" s="1"/>
  <c r="Q105" i="46" s="1"/>
  <c r="Q171" i="49"/>
  <c r="Q168" i="49"/>
  <c r="P110" i="48"/>
  <c r="P122" i="48"/>
  <c r="P11" i="48" s="1"/>
  <c r="P107" i="48"/>
  <c r="P113" i="48"/>
  <c r="O141" i="48"/>
  <c r="O159" i="48"/>
  <c r="G159" i="48"/>
  <c r="G141" i="48"/>
  <c r="Q138" i="48"/>
  <c r="Q120" i="48"/>
  <c r="P159" i="48"/>
  <c r="P141" i="48"/>
  <c r="E120" i="48"/>
  <c r="E138" i="48"/>
  <c r="K159" i="48"/>
  <c r="K141" i="48"/>
  <c r="E101" i="48"/>
  <c r="E10" i="48" s="1"/>
  <c r="E71" i="46" s="1"/>
  <c r="E92" i="48"/>
  <c r="E89" i="48"/>
  <c r="E86" i="48"/>
  <c r="D113" i="48"/>
  <c r="D122" i="48"/>
  <c r="D11" i="48" s="1"/>
  <c r="D107" i="48"/>
  <c r="D110" i="48"/>
  <c r="J162" i="48"/>
  <c r="J178" i="48"/>
  <c r="J181" i="48" s="1"/>
  <c r="K113" i="48"/>
  <c r="K122" i="48"/>
  <c r="K11" i="48" s="1"/>
  <c r="K107" i="48"/>
  <c r="K110" i="48"/>
  <c r="O122" i="48"/>
  <c r="O11" i="48" s="1"/>
  <c r="O107" i="48"/>
  <c r="O113" i="48"/>
  <c r="O110" i="48"/>
  <c r="G122" i="48"/>
  <c r="G11" i="48" s="1"/>
  <c r="G113" i="48"/>
  <c r="G110" i="48"/>
  <c r="G107" i="48"/>
  <c r="R174" i="48"/>
  <c r="R183" i="48"/>
  <c r="R14" i="48" s="1"/>
  <c r="R75" i="46" s="1"/>
  <c r="R171" i="48"/>
  <c r="R168" i="48"/>
  <c r="C113" i="48"/>
  <c r="C122" i="48"/>
  <c r="C11" i="48" s="1"/>
  <c r="C72" i="46" s="1"/>
  <c r="C110" i="48"/>
  <c r="C107" i="48"/>
  <c r="C159" i="48"/>
  <c r="C141" i="48"/>
  <c r="I143" i="48"/>
  <c r="I12" i="48" s="1"/>
  <c r="I73" i="46" s="1"/>
  <c r="I134" i="48"/>
  <c r="I131" i="48"/>
  <c r="I128" i="48"/>
  <c r="J143" i="48"/>
  <c r="J12" i="48" s="1"/>
  <c r="J73" i="46" s="1"/>
  <c r="J131" i="48"/>
  <c r="J128" i="48"/>
  <c r="J134" i="48"/>
  <c r="D159" i="48"/>
  <c r="D141" i="48"/>
  <c r="L164" i="48"/>
  <c r="L13" i="48" s="1"/>
  <c r="L74" i="46" s="1"/>
  <c r="L149" i="48"/>
  <c r="L155" i="48"/>
  <c r="L152" i="48"/>
  <c r="L171" i="48"/>
  <c r="L168" i="48"/>
  <c r="L174" i="48"/>
  <c r="L183" i="48"/>
  <c r="L14" i="48" s="1"/>
  <c r="L75" i="46" s="1"/>
  <c r="H164" i="48"/>
  <c r="H13" i="48" s="1"/>
  <c r="H74" i="46" s="1"/>
  <c r="H152" i="48"/>
  <c r="H155" i="48"/>
  <c r="H149" i="48"/>
  <c r="I178" i="48"/>
  <c r="I181" i="48" s="1"/>
  <c r="I162" i="48"/>
  <c r="Q101" i="48"/>
  <c r="Q10" i="48" s="1"/>
  <c r="Q71" i="46" s="1"/>
  <c r="Q92" i="48"/>
  <c r="Q89" i="48"/>
  <c r="Q86" i="48"/>
  <c r="N178" i="48"/>
  <c r="N181" i="48" s="1"/>
  <c r="N162" i="48"/>
  <c r="I77" i="47"/>
  <c r="I9" i="47" s="1"/>
  <c r="I55" i="46" s="1"/>
  <c r="I62" i="47"/>
  <c r="I68" i="47"/>
  <c r="I65" i="47"/>
  <c r="I99" i="47"/>
  <c r="I117" i="47"/>
  <c r="Q77" i="47"/>
  <c r="Q9" i="47" s="1"/>
  <c r="Q55" i="46" s="1"/>
  <c r="Q68" i="47"/>
  <c r="Q62" i="47"/>
  <c r="Q65" i="47"/>
  <c r="M141" i="47"/>
  <c r="M159" i="47"/>
  <c r="P164" i="47"/>
  <c r="P13" i="47" s="1"/>
  <c r="P59" i="46" s="1"/>
  <c r="P152" i="47"/>
  <c r="P155" i="47"/>
  <c r="P149" i="47"/>
  <c r="Q99" i="47"/>
  <c r="Q117" i="47"/>
  <c r="M122" i="47"/>
  <c r="M11" i="47" s="1"/>
  <c r="M113" i="47"/>
  <c r="M107" i="47"/>
  <c r="M110" i="47"/>
  <c r="P183" i="47"/>
  <c r="P14" i="47" s="1"/>
  <c r="P60" i="46" s="1"/>
  <c r="P174" i="47"/>
  <c r="P168" i="47"/>
  <c r="P171" i="47"/>
  <c r="J155" i="47"/>
  <c r="J164" i="47"/>
  <c r="J13" i="47" s="1"/>
  <c r="J59" i="46" s="1"/>
  <c r="J152" i="47"/>
  <c r="J149" i="47"/>
  <c r="R141" i="47"/>
  <c r="R159" i="47"/>
  <c r="E141" i="47"/>
  <c r="E159" i="47"/>
  <c r="O152" i="47"/>
  <c r="O149" i="47"/>
  <c r="O164" i="47"/>
  <c r="O13" i="47" s="1"/>
  <c r="O59" i="46" s="1"/>
  <c r="O155" i="47"/>
  <c r="J171" i="47"/>
  <c r="J183" i="47"/>
  <c r="J14" i="47" s="1"/>
  <c r="J60" i="46" s="1"/>
  <c r="J174" i="47"/>
  <c r="J168" i="47"/>
  <c r="R122" i="47"/>
  <c r="R11" i="47" s="1"/>
  <c r="R107" i="47"/>
  <c r="R110" i="47"/>
  <c r="R113" i="47"/>
  <c r="E122" i="47"/>
  <c r="E11" i="47" s="1"/>
  <c r="E107" i="47"/>
  <c r="E113" i="47"/>
  <c r="E110" i="47"/>
  <c r="O171" i="47"/>
  <c r="O168" i="47"/>
  <c r="O174" i="47"/>
  <c r="O183" i="47"/>
  <c r="O14" i="47" s="1"/>
  <c r="O60" i="46" s="1"/>
  <c r="D183" i="47"/>
  <c r="D14" i="47" s="1"/>
  <c r="D60" i="46" s="1"/>
  <c r="D171" i="47"/>
  <c r="D174" i="47"/>
  <c r="D168" i="47"/>
  <c r="H120" i="47"/>
  <c r="H138" i="47"/>
  <c r="D152" i="47"/>
  <c r="D149" i="47"/>
  <c r="D155" i="47"/>
  <c r="D164" i="47"/>
  <c r="D13" i="47" s="1"/>
  <c r="D59" i="46" s="1"/>
  <c r="H101" i="47"/>
  <c r="H10" i="47" s="1"/>
  <c r="H56" i="46" s="1"/>
  <c r="H89" i="47"/>
  <c r="H86" i="47"/>
  <c r="H92" i="47"/>
  <c r="F120" i="47" l="1"/>
  <c r="F138" i="47"/>
  <c r="C122" i="47"/>
  <c r="C11" i="47" s="1"/>
  <c r="C57" i="46" s="1"/>
  <c r="C113" i="47"/>
  <c r="C110" i="47"/>
  <c r="C107" i="47"/>
  <c r="G122" i="47"/>
  <c r="G11" i="47" s="1"/>
  <c r="G110" i="47"/>
  <c r="G113" i="47"/>
  <c r="G107" i="47"/>
  <c r="C159" i="47"/>
  <c r="C141" i="47"/>
  <c r="F92" i="47"/>
  <c r="F101" i="47"/>
  <c r="F10" i="47" s="1"/>
  <c r="F56" i="46" s="1"/>
  <c r="F86" i="47"/>
  <c r="F89" i="47"/>
  <c r="G141" i="47"/>
  <c r="G159" i="47"/>
  <c r="N92" i="47"/>
  <c r="N89" i="47"/>
  <c r="N86" i="47"/>
  <c r="N101" i="47"/>
  <c r="N10" i="47" s="1"/>
  <c r="N56" i="46" s="1"/>
  <c r="N138" i="47"/>
  <c r="N120" i="47"/>
  <c r="L113" i="47"/>
  <c r="L110" i="47"/>
  <c r="L122" i="47"/>
  <c r="L11" i="47" s="1"/>
  <c r="L107" i="47"/>
  <c r="L159" i="47"/>
  <c r="L141" i="47"/>
  <c r="Q155" i="49"/>
  <c r="Q164" i="49"/>
  <c r="Q13" i="49" s="1"/>
  <c r="Q104" i="46" s="1"/>
  <c r="Q149" i="49"/>
  <c r="M107" i="48"/>
  <c r="M110" i="48"/>
  <c r="H168" i="48"/>
  <c r="H174" i="48"/>
  <c r="H171" i="48"/>
  <c r="M113" i="48"/>
  <c r="M128" i="49"/>
  <c r="M131" i="49"/>
  <c r="M143" i="49"/>
  <c r="M12" i="49" s="1"/>
  <c r="M103" i="46" s="1"/>
  <c r="N134" i="48"/>
  <c r="N128" i="48"/>
  <c r="N143" i="48"/>
  <c r="N12" i="48" s="1"/>
  <c r="N73" i="46" s="1"/>
  <c r="R149" i="48"/>
  <c r="R155" i="48"/>
  <c r="R152" i="48"/>
  <c r="J164" i="52"/>
  <c r="J13" i="52" s="1"/>
  <c r="J152" i="52"/>
  <c r="J149" i="52"/>
  <c r="J155" i="52"/>
  <c r="J174" i="52"/>
  <c r="J183" i="52"/>
  <c r="J14" i="52" s="1"/>
  <c r="J90" i="46" s="1"/>
  <c r="J171" i="52"/>
  <c r="J168" i="52"/>
  <c r="M178" i="48"/>
  <c r="M181" i="48" s="1"/>
  <c r="M162" i="48"/>
  <c r="M134" i="48"/>
  <c r="M143" i="48"/>
  <c r="M12" i="48" s="1"/>
  <c r="M73" i="46" s="1"/>
  <c r="M131" i="48"/>
  <c r="M128" i="48"/>
  <c r="E72" i="46"/>
  <c r="E57" i="46"/>
  <c r="M72" i="46"/>
  <c r="M57" i="46"/>
  <c r="R57" i="46"/>
  <c r="R72" i="46"/>
  <c r="N178" i="49"/>
  <c r="N181" i="49" s="1"/>
  <c r="N162" i="49"/>
  <c r="N143" i="49"/>
  <c r="N12" i="49" s="1"/>
  <c r="N103" i="46" s="1"/>
  <c r="N131" i="49"/>
  <c r="N128" i="49"/>
  <c r="N134" i="49"/>
  <c r="P143" i="49"/>
  <c r="P12" i="49" s="1"/>
  <c r="P103" i="46" s="1"/>
  <c r="P134" i="49"/>
  <c r="P131" i="49"/>
  <c r="P128" i="49"/>
  <c r="P178" i="49"/>
  <c r="P181" i="49" s="1"/>
  <c r="P162" i="49"/>
  <c r="F162" i="48"/>
  <c r="F178" i="48"/>
  <c r="F181" i="48" s="1"/>
  <c r="F143" i="48"/>
  <c r="F12" i="48" s="1"/>
  <c r="F73" i="46" s="1"/>
  <c r="F131" i="48"/>
  <c r="F134" i="48"/>
  <c r="F128" i="48"/>
  <c r="J162" i="49"/>
  <c r="J178" i="49"/>
  <c r="J181" i="49" s="1"/>
  <c r="O155" i="49"/>
  <c r="O164" i="49"/>
  <c r="O13" i="49" s="1"/>
  <c r="O104" i="46" s="1"/>
  <c r="O152" i="49"/>
  <c r="O149" i="49"/>
  <c r="J143" i="49"/>
  <c r="J12" i="49" s="1"/>
  <c r="J103" i="46" s="1"/>
  <c r="J128" i="49"/>
  <c r="J134" i="49"/>
  <c r="J131" i="49"/>
  <c r="R174" i="49"/>
  <c r="R183" i="49"/>
  <c r="R14" i="49" s="1"/>
  <c r="R105" i="46" s="1"/>
  <c r="R171" i="49"/>
  <c r="R168" i="49"/>
  <c r="I152" i="49"/>
  <c r="I149" i="49"/>
  <c r="I155" i="49"/>
  <c r="I164" i="49"/>
  <c r="I13" i="49" s="1"/>
  <c r="I104" i="46" s="1"/>
  <c r="H143" i="49"/>
  <c r="H12" i="49" s="1"/>
  <c r="H103" i="46" s="1"/>
  <c r="H128" i="49"/>
  <c r="H131" i="49"/>
  <c r="H134" i="49"/>
  <c r="L164" i="49"/>
  <c r="L13" i="49" s="1"/>
  <c r="L104" i="46" s="1"/>
  <c r="L152" i="49"/>
  <c r="L149" i="49"/>
  <c r="L155" i="49"/>
  <c r="I174" i="49"/>
  <c r="I183" i="49"/>
  <c r="I14" i="49" s="1"/>
  <c r="I105" i="46" s="1"/>
  <c r="I171" i="49"/>
  <c r="I168" i="49"/>
  <c r="H162" i="49"/>
  <c r="H178" i="49"/>
  <c r="H181" i="49" s="1"/>
  <c r="L171" i="49"/>
  <c r="L168" i="49"/>
  <c r="L174" i="49"/>
  <c r="L183" i="49"/>
  <c r="L14" i="49" s="1"/>
  <c r="L105" i="46" s="1"/>
  <c r="M183" i="49"/>
  <c r="M14" i="49" s="1"/>
  <c r="M105" i="46" s="1"/>
  <c r="M171" i="49"/>
  <c r="M174" i="49"/>
  <c r="M168" i="49"/>
  <c r="M164" i="49"/>
  <c r="M13" i="49" s="1"/>
  <c r="M104" i="46" s="1"/>
  <c r="M155" i="49"/>
  <c r="M152" i="49"/>
  <c r="M149" i="49"/>
  <c r="F141" i="49"/>
  <c r="F159" i="49"/>
  <c r="C122" i="49"/>
  <c r="C11" i="49" s="1"/>
  <c r="C102" i="46" s="1"/>
  <c r="C113" i="49"/>
  <c r="C110" i="49"/>
  <c r="C107" i="49"/>
  <c r="E134" i="49"/>
  <c r="E143" i="49"/>
  <c r="E12" i="49" s="1"/>
  <c r="E103" i="46" s="1"/>
  <c r="E131" i="49"/>
  <c r="E128" i="49"/>
  <c r="F113" i="49"/>
  <c r="F110" i="49"/>
  <c r="F122" i="49"/>
  <c r="F11" i="49" s="1"/>
  <c r="F102" i="46" s="1"/>
  <c r="F107" i="49"/>
  <c r="C159" i="49"/>
  <c r="C141" i="49"/>
  <c r="E162" i="49"/>
  <c r="E178" i="49"/>
  <c r="E181" i="49" s="1"/>
  <c r="G162" i="49"/>
  <c r="G178" i="49"/>
  <c r="G181" i="49" s="1"/>
  <c r="R164" i="49"/>
  <c r="R13" i="49" s="1"/>
  <c r="R104" i="46" s="1"/>
  <c r="R152" i="49"/>
  <c r="R155" i="49"/>
  <c r="R149" i="49"/>
  <c r="G131" i="49"/>
  <c r="G134" i="49"/>
  <c r="G143" i="49"/>
  <c r="G12" i="49" s="1"/>
  <c r="G103" i="46" s="1"/>
  <c r="G128" i="49"/>
  <c r="K162" i="49"/>
  <c r="K178" i="49"/>
  <c r="K181" i="49" s="1"/>
  <c r="O183" i="49"/>
  <c r="O14" i="49" s="1"/>
  <c r="O105" i="46" s="1"/>
  <c r="O168" i="49"/>
  <c r="O174" i="49"/>
  <c r="O171" i="49"/>
  <c r="K143" i="49"/>
  <c r="K12" i="49" s="1"/>
  <c r="K103" i="46" s="1"/>
  <c r="K128" i="49"/>
  <c r="K134" i="49"/>
  <c r="K131" i="49"/>
  <c r="D178" i="48"/>
  <c r="D181" i="48" s="1"/>
  <c r="D162" i="48"/>
  <c r="Q141" i="48"/>
  <c r="Q159" i="48"/>
  <c r="I174" i="48"/>
  <c r="I183" i="48"/>
  <c r="I14" i="48" s="1"/>
  <c r="I75" i="46" s="1"/>
  <c r="I171" i="48"/>
  <c r="I168" i="48"/>
  <c r="K162" i="48"/>
  <c r="K178" i="48"/>
  <c r="K181" i="48" s="1"/>
  <c r="G162" i="48"/>
  <c r="G178" i="48"/>
  <c r="G181" i="48" s="1"/>
  <c r="D134" i="48"/>
  <c r="D143" i="48"/>
  <c r="D12" i="48" s="1"/>
  <c r="D73" i="46" s="1"/>
  <c r="D131" i="48"/>
  <c r="D128" i="48"/>
  <c r="J174" i="48"/>
  <c r="J183" i="48"/>
  <c r="J14" i="48" s="1"/>
  <c r="J75" i="46" s="1"/>
  <c r="J171" i="48"/>
  <c r="J168" i="48"/>
  <c r="E159" i="48"/>
  <c r="E141" i="48"/>
  <c r="Q122" i="48"/>
  <c r="Q11" i="48" s="1"/>
  <c r="Q110" i="48"/>
  <c r="Q113" i="48"/>
  <c r="Q107" i="48"/>
  <c r="O162" i="48"/>
  <c r="O178" i="48"/>
  <c r="O181" i="48" s="1"/>
  <c r="E122" i="48"/>
  <c r="E11" i="48" s="1"/>
  <c r="E110" i="48"/>
  <c r="E113" i="48"/>
  <c r="E107" i="48"/>
  <c r="C143" i="48"/>
  <c r="C12" i="48" s="1"/>
  <c r="C73" i="46" s="1"/>
  <c r="C128" i="48"/>
  <c r="C131" i="48"/>
  <c r="C134" i="48"/>
  <c r="P143" i="48"/>
  <c r="P12" i="48" s="1"/>
  <c r="P73" i="46" s="1"/>
  <c r="P131" i="48"/>
  <c r="P134" i="48"/>
  <c r="P128" i="48"/>
  <c r="N155" i="48"/>
  <c r="N164" i="48"/>
  <c r="N13" i="48" s="1"/>
  <c r="N74" i="46" s="1"/>
  <c r="N152" i="48"/>
  <c r="N149" i="48"/>
  <c r="P162" i="48"/>
  <c r="P178" i="48"/>
  <c r="P181" i="48" s="1"/>
  <c r="N183" i="48"/>
  <c r="N14" i="48" s="1"/>
  <c r="N75" i="46" s="1"/>
  <c r="N168" i="48"/>
  <c r="N174" i="48"/>
  <c r="N171" i="48"/>
  <c r="J164" i="48"/>
  <c r="J13" i="48" s="1"/>
  <c r="J74" i="46" s="1"/>
  <c r="J149" i="48"/>
  <c r="J155" i="48"/>
  <c r="J152" i="48"/>
  <c r="O131" i="48"/>
  <c r="O134" i="48"/>
  <c r="O143" i="48"/>
  <c r="O12" i="48" s="1"/>
  <c r="O73" i="46" s="1"/>
  <c r="O128" i="48"/>
  <c r="C162" i="48"/>
  <c r="C178" i="48"/>
  <c r="C181" i="48" s="1"/>
  <c r="I152" i="48"/>
  <c r="I149" i="48"/>
  <c r="I155" i="48"/>
  <c r="I164" i="48"/>
  <c r="I13" i="48" s="1"/>
  <c r="I74" i="46" s="1"/>
  <c r="K143" i="48"/>
  <c r="K12" i="48" s="1"/>
  <c r="K73" i="46" s="1"/>
  <c r="K134" i="48"/>
  <c r="K131" i="48"/>
  <c r="K128" i="48"/>
  <c r="G131" i="48"/>
  <c r="G134" i="48"/>
  <c r="G143" i="48"/>
  <c r="G12" i="48" s="1"/>
  <c r="G73" i="46" s="1"/>
  <c r="G128" i="48"/>
  <c r="I120" i="47"/>
  <c r="I138" i="47"/>
  <c r="H122" i="47"/>
  <c r="H11" i="47" s="1"/>
  <c r="H110" i="47"/>
  <c r="H107" i="47"/>
  <c r="H113" i="47"/>
  <c r="R131" i="47"/>
  <c r="R134" i="47"/>
  <c r="R143" i="47"/>
  <c r="R12" i="47" s="1"/>
  <c r="R58" i="46" s="1"/>
  <c r="R128" i="47"/>
  <c r="H159" i="47"/>
  <c r="H141" i="47"/>
  <c r="I89" i="47"/>
  <c r="I86" i="47"/>
  <c r="I101" i="47"/>
  <c r="I10" i="47" s="1"/>
  <c r="I56" i="46" s="1"/>
  <c r="I92" i="47"/>
  <c r="E162" i="47"/>
  <c r="E178" i="47"/>
  <c r="E181" i="47" s="1"/>
  <c r="M131" i="47"/>
  <c r="M128" i="47"/>
  <c r="M143" i="47"/>
  <c r="M12" i="47" s="1"/>
  <c r="M58" i="46" s="1"/>
  <c r="M134" i="47"/>
  <c r="Q120" i="47"/>
  <c r="Q138" i="47"/>
  <c r="E131" i="47"/>
  <c r="E128" i="47"/>
  <c r="E143" i="47"/>
  <c r="E12" i="47" s="1"/>
  <c r="E58" i="46" s="1"/>
  <c r="E134" i="47"/>
  <c r="Q89" i="47"/>
  <c r="Q86" i="47"/>
  <c r="Q92" i="47"/>
  <c r="Q101" i="47"/>
  <c r="Q10" i="47" s="1"/>
  <c r="Q56" i="46" s="1"/>
  <c r="R178" i="47"/>
  <c r="R181" i="47" s="1"/>
  <c r="R162" i="47"/>
  <c r="M162" i="47"/>
  <c r="M178" i="47"/>
  <c r="M181" i="47" s="1"/>
  <c r="C128" i="47" l="1"/>
  <c r="C143" i="47"/>
  <c r="C12" i="47" s="1"/>
  <c r="C58" i="46" s="1"/>
  <c r="C134" i="47"/>
  <c r="C131" i="47"/>
  <c r="N110" i="47"/>
  <c r="N107" i="47"/>
  <c r="N113" i="47"/>
  <c r="N122" i="47"/>
  <c r="N11" i="47" s="1"/>
  <c r="G57" i="46"/>
  <c r="G72" i="46"/>
  <c r="L178" i="47"/>
  <c r="L181" i="47" s="1"/>
  <c r="L162" i="47"/>
  <c r="L72" i="46"/>
  <c r="L57" i="46"/>
  <c r="C178" i="47"/>
  <c r="C181" i="47" s="1"/>
  <c r="C162" i="47"/>
  <c r="L128" i="47"/>
  <c r="L131" i="47"/>
  <c r="L143" i="47"/>
  <c r="L12" i="47" s="1"/>
  <c r="L58" i="46" s="1"/>
  <c r="L134" i="47"/>
  <c r="G162" i="47"/>
  <c r="G178" i="47"/>
  <c r="G181" i="47" s="1"/>
  <c r="F141" i="47"/>
  <c r="F159" i="47"/>
  <c r="N159" i="47"/>
  <c r="N141" i="47"/>
  <c r="G134" i="47"/>
  <c r="G143" i="47"/>
  <c r="G12" i="47" s="1"/>
  <c r="G58" i="46" s="1"/>
  <c r="G128" i="47"/>
  <c r="G131" i="47"/>
  <c r="F107" i="47"/>
  <c r="F122" i="47"/>
  <c r="F11" i="47" s="1"/>
  <c r="F110" i="47"/>
  <c r="F113" i="47"/>
  <c r="X16" i="52"/>
  <c r="G80" i="46" s="1"/>
  <c r="J89" i="46"/>
  <c r="M149" i="48"/>
  <c r="M155" i="48"/>
  <c r="M152" i="48"/>
  <c r="M164" i="48"/>
  <c r="M13" i="48" s="1"/>
  <c r="M74" i="46" s="1"/>
  <c r="M183" i="48"/>
  <c r="M14" i="48" s="1"/>
  <c r="M75" i="46" s="1"/>
  <c r="M171" i="48"/>
  <c r="M168" i="48"/>
  <c r="M174" i="48"/>
  <c r="H72" i="46"/>
  <c r="H57" i="46"/>
  <c r="P164" i="49"/>
  <c r="P13" i="49" s="1"/>
  <c r="P104" i="46" s="1"/>
  <c r="P152" i="49"/>
  <c r="P155" i="49"/>
  <c r="P149" i="49"/>
  <c r="P168" i="49"/>
  <c r="P171" i="49"/>
  <c r="P174" i="49"/>
  <c r="P183" i="49"/>
  <c r="P14" i="49" s="1"/>
  <c r="P105" i="46" s="1"/>
  <c r="N164" i="49"/>
  <c r="N13" i="49" s="1"/>
  <c r="N104" i="46" s="1"/>
  <c r="N152" i="49"/>
  <c r="N149" i="49"/>
  <c r="N155" i="49"/>
  <c r="N183" i="49"/>
  <c r="N14" i="49" s="1"/>
  <c r="N105" i="46" s="1"/>
  <c r="N171" i="49"/>
  <c r="N174" i="49"/>
  <c r="N168" i="49"/>
  <c r="F183" i="48"/>
  <c r="F14" i="48" s="1"/>
  <c r="F75" i="46" s="1"/>
  <c r="F168" i="48"/>
  <c r="F171" i="48"/>
  <c r="F174" i="48"/>
  <c r="F152" i="48"/>
  <c r="F149" i="48"/>
  <c r="F155" i="48"/>
  <c r="F164" i="48"/>
  <c r="F13" i="48" s="1"/>
  <c r="F74" i="46" s="1"/>
  <c r="E174" i="49"/>
  <c r="E183" i="49"/>
  <c r="E14" i="49" s="1"/>
  <c r="E105" i="46" s="1"/>
  <c r="E171" i="49"/>
  <c r="E168" i="49"/>
  <c r="F143" i="49"/>
  <c r="F12" i="49" s="1"/>
  <c r="F103" i="46" s="1"/>
  <c r="F131" i="49"/>
  <c r="F134" i="49"/>
  <c r="F128" i="49"/>
  <c r="G183" i="49"/>
  <c r="G14" i="49" s="1"/>
  <c r="G105" i="46" s="1"/>
  <c r="G171" i="49"/>
  <c r="G168" i="49"/>
  <c r="G174" i="49"/>
  <c r="H183" i="49"/>
  <c r="H14" i="49" s="1"/>
  <c r="H105" i="46" s="1"/>
  <c r="H171" i="49"/>
  <c r="H174" i="49"/>
  <c r="H168" i="49"/>
  <c r="G155" i="49"/>
  <c r="G164" i="49"/>
  <c r="G13" i="49" s="1"/>
  <c r="G104" i="46" s="1"/>
  <c r="G152" i="49"/>
  <c r="G149" i="49"/>
  <c r="H164" i="49"/>
  <c r="H13" i="49" s="1"/>
  <c r="H104" i="46" s="1"/>
  <c r="H152" i="49"/>
  <c r="H155" i="49"/>
  <c r="H149" i="49"/>
  <c r="E164" i="49"/>
  <c r="E13" i="49" s="1"/>
  <c r="E104" i="46" s="1"/>
  <c r="E152" i="49"/>
  <c r="E149" i="49"/>
  <c r="E155" i="49"/>
  <c r="C143" i="49"/>
  <c r="C12" i="49" s="1"/>
  <c r="C103" i="46" s="1"/>
  <c r="C131" i="49"/>
  <c r="C134" i="49"/>
  <c r="C128" i="49"/>
  <c r="K183" i="49"/>
  <c r="K14" i="49" s="1"/>
  <c r="K105" i="46" s="1"/>
  <c r="K171" i="49"/>
  <c r="K174" i="49"/>
  <c r="K168" i="49"/>
  <c r="J174" i="49"/>
  <c r="J183" i="49"/>
  <c r="J14" i="49" s="1"/>
  <c r="J105" i="46" s="1"/>
  <c r="J171" i="49"/>
  <c r="J168" i="49"/>
  <c r="F178" i="49"/>
  <c r="F181" i="49" s="1"/>
  <c r="F162" i="49"/>
  <c r="C162" i="49"/>
  <c r="C178" i="49"/>
  <c r="C181" i="49" s="1"/>
  <c r="K164" i="49"/>
  <c r="K13" i="49" s="1"/>
  <c r="K104" i="46" s="1"/>
  <c r="K149" i="49"/>
  <c r="K155" i="49"/>
  <c r="K152" i="49"/>
  <c r="J164" i="49"/>
  <c r="J13" i="49" s="1"/>
  <c r="J104" i="46" s="1"/>
  <c r="J149" i="49"/>
  <c r="J152" i="49"/>
  <c r="J155" i="49"/>
  <c r="P164" i="48"/>
  <c r="P13" i="48" s="1"/>
  <c r="P74" i="46" s="1"/>
  <c r="P152" i="48"/>
  <c r="P155" i="48"/>
  <c r="P149" i="48"/>
  <c r="E178" i="48"/>
  <c r="E181" i="48" s="1"/>
  <c r="E162" i="48"/>
  <c r="C183" i="48"/>
  <c r="C14" i="48" s="1"/>
  <c r="C75" i="46" s="1"/>
  <c r="C171" i="48"/>
  <c r="C174" i="48"/>
  <c r="C168" i="48"/>
  <c r="P183" i="48"/>
  <c r="P14" i="48" s="1"/>
  <c r="P75" i="46" s="1"/>
  <c r="P168" i="48"/>
  <c r="P174" i="48"/>
  <c r="P171" i="48"/>
  <c r="E134" i="48"/>
  <c r="E143" i="48"/>
  <c r="E12" i="48" s="1"/>
  <c r="E73" i="46" s="1"/>
  <c r="E131" i="48"/>
  <c r="E128" i="48"/>
  <c r="O183" i="48"/>
  <c r="O14" i="48" s="1"/>
  <c r="O75" i="46" s="1"/>
  <c r="O168" i="48"/>
  <c r="O171" i="48"/>
  <c r="O174" i="48"/>
  <c r="G171" i="48"/>
  <c r="G183" i="48"/>
  <c r="G14" i="48" s="1"/>
  <c r="G75" i="46" s="1"/>
  <c r="G174" i="48"/>
  <c r="G168" i="48"/>
  <c r="C152" i="48"/>
  <c r="C164" i="48"/>
  <c r="C13" i="48" s="1"/>
  <c r="C74" i="46" s="1"/>
  <c r="C155" i="48"/>
  <c r="C149" i="48"/>
  <c r="G155" i="48"/>
  <c r="G164" i="48"/>
  <c r="G13" i="48" s="1"/>
  <c r="G74" i="46" s="1"/>
  <c r="G152" i="48"/>
  <c r="G149" i="48"/>
  <c r="K183" i="48"/>
  <c r="K14" i="48" s="1"/>
  <c r="K75" i="46" s="1"/>
  <c r="K171" i="48"/>
  <c r="K174" i="48"/>
  <c r="K168" i="48"/>
  <c r="K164" i="48"/>
  <c r="K13" i="48" s="1"/>
  <c r="K74" i="46" s="1"/>
  <c r="K149" i="48"/>
  <c r="K155" i="48"/>
  <c r="K152" i="48"/>
  <c r="D171" i="48"/>
  <c r="D168" i="48"/>
  <c r="D183" i="48"/>
  <c r="D14" i="48" s="1"/>
  <c r="D75" i="46" s="1"/>
  <c r="D174" i="48"/>
  <c r="Q178" i="48"/>
  <c r="Q181" i="48" s="1"/>
  <c r="Q162" i="48"/>
  <c r="O155" i="48"/>
  <c r="O164" i="48"/>
  <c r="O13" i="48" s="1"/>
  <c r="O74" i="46" s="1"/>
  <c r="O152" i="48"/>
  <c r="O149" i="48"/>
  <c r="Q143" i="48"/>
  <c r="Q12" i="48" s="1"/>
  <c r="Q73" i="46" s="1"/>
  <c r="Q131" i="48"/>
  <c r="Q128" i="48"/>
  <c r="Q134" i="48"/>
  <c r="D164" i="48"/>
  <c r="D13" i="48" s="1"/>
  <c r="D74" i="46" s="1"/>
  <c r="D155" i="48"/>
  <c r="D152" i="48"/>
  <c r="D149" i="48"/>
  <c r="R171" i="47"/>
  <c r="R183" i="47"/>
  <c r="R14" i="47" s="1"/>
  <c r="R60" i="46" s="1"/>
  <c r="R174" i="47"/>
  <c r="R168" i="47"/>
  <c r="Q159" i="47"/>
  <c r="Q141" i="47"/>
  <c r="Q110" i="47"/>
  <c r="Q122" i="47"/>
  <c r="Q11" i="47" s="1"/>
  <c r="Q113" i="47"/>
  <c r="Q107" i="47"/>
  <c r="H128" i="47"/>
  <c r="H134" i="47"/>
  <c r="H143" i="47"/>
  <c r="H12" i="47" s="1"/>
  <c r="H58" i="46" s="1"/>
  <c r="H131" i="47"/>
  <c r="M164" i="47"/>
  <c r="M13" i="47" s="1"/>
  <c r="M59" i="46" s="1"/>
  <c r="M149" i="47"/>
  <c r="M152" i="47"/>
  <c r="M155" i="47"/>
  <c r="H178" i="47"/>
  <c r="H181" i="47" s="1"/>
  <c r="H162" i="47"/>
  <c r="M174" i="47"/>
  <c r="M183" i="47"/>
  <c r="M14" i="47" s="1"/>
  <c r="M60" i="46" s="1"/>
  <c r="M171" i="47"/>
  <c r="M168" i="47"/>
  <c r="E174" i="47"/>
  <c r="E183" i="47"/>
  <c r="E14" i="47" s="1"/>
  <c r="E60" i="46" s="1"/>
  <c r="E171" i="47"/>
  <c r="E168" i="47"/>
  <c r="I159" i="47"/>
  <c r="I141" i="47"/>
  <c r="R155" i="47"/>
  <c r="R164" i="47"/>
  <c r="R13" i="47" s="1"/>
  <c r="R59" i="46" s="1"/>
  <c r="R152" i="47"/>
  <c r="R149" i="47"/>
  <c r="E164" i="47"/>
  <c r="E13" i="47" s="1"/>
  <c r="E59" i="46" s="1"/>
  <c r="E152" i="47"/>
  <c r="E149" i="47"/>
  <c r="E155" i="47"/>
  <c r="I110" i="47"/>
  <c r="I107" i="47"/>
  <c r="I113" i="47"/>
  <c r="I122" i="47"/>
  <c r="I11" i="47" s="1"/>
  <c r="N72" i="46" l="1"/>
  <c r="N57" i="46"/>
  <c r="C168" i="47"/>
  <c r="C183" i="47"/>
  <c r="C14" i="47" s="1"/>
  <c r="C60" i="46" s="1"/>
  <c r="C171" i="47"/>
  <c r="C174" i="47"/>
  <c r="G168" i="47"/>
  <c r="G183" i="47"/>
  <c r="G14" i="47" s="1"/>
  <c r="G60" i="46" s="1"/>
  <c r="G174" i="47"/>
  <c r="G171" i="47"/>
  <c r="G164" i="47"/>
  <c r="G13" i="47" s="1"/>
  <c r="G59" i="46" s="1"/>
  <c r="G152" i="47"/>
  <c r="G155" i="47"/>
  <c r="G149" i="47"/>
  <c r="F72" i="46"/>
  <c r="F57" i="46"/>
  <c r="F134" i="47"/>
  <c r="F143" i="47"/>
  <c r="F12" i="47" s="1"/>
  <c r="F58" i="46" s="1"/>
  <c r="F128" i="47"/>
  <c r="F131" i="47"/>
  <c r="L152" i="47"/>
  <c r="L149" i="47"/>
  <c r="L155" i="47"/>
  <c r="L164" i="47"/>
  <c r="L13" i="47" s="1"/>
  <c r="L59" i="46" s="1"/>
  <c r="C149" i="47"/>
  <c r="C164" i="47"/>
  <c r="C13" i="47" s="1"/>
  <c r="C59" i="46" s="1"/>
  <c r="C155" i="47"/>
  <c r="C152" i="47"/>
  <c r="L183" i="47"/>
  <c r="L14" i="47" s="1"/>
  <c r="L60" i="46" s="1"/>
  <c r="L171" i="47"/>
  <c r="L168" i="47"/>
  <c r="L174" i="47"/>
  <c r="N143" i="47"/>
  <c r="N12" i="47" s="1"/>
  <c r="N58" i="46" s="1"/>
  <c r="N131" i="47"/>
  <c r="N134" i="47"/>
  <c r="N128" i="47"/>
  <c r="F178" i="47"/>
  <c r="F181" i="47" s="1"/>
  <c r="F162" i="47"/>
  <c r="N178" i="47"/>
  <c r="N181" i="47" s="1"/>
  <c r="N162" i="47"/>
  <c r="I72" i="46"/>
  <c r="I57" i="46"/>
  <c r="Q57" i="46"/>
  <c r="Q72" i="46"/>
  <c r="C164" i="49"/>
  <c r="C13" i="49" s="1"/>
  <c r="C104" i="46" s="1"/>
  <c r="C152" i="49"/>
  <c r="C149" i="49"/>
  <c r="C155" i="49"/>
  <c r="C183" i="49"/>
  <c r="C14" i="49" s="1"/>
  <c r="C105" i="46" s="1"/>
  <c r="C171" i="49"/>
  <c r="C174" i="49"/>
  <c r="C168" i="49"/>
  <c r="F155" i="49"/>
  <c r="F164" i="49"/>
  <c r="F13" i="49" s="1"/>
  <c r="F152" i="49"/>
  <c r="F149" i="49"/>
  <c r="F174" i="49"/>
  <c r="F183" i="49"/>
  <c r="F14" i="49" s="1"/>
  <c r="F105" i="46" s="1"/>
  <c r="F168" i="49"/>
  <c r="F171" i="49"/>
  <c r="E183" i="48"/>
  <c r="E14" i="48" s="1"/>
  <c r="E75" i="46" s="1"/>
  <c r="E174" i="48"/>
  <c r="E171" i="48"/>
  <c r="E168" i="48"/>
  <c r="Q174" i="48"/>
  <c r="Q183" i="48"/>
  <c r="Q14" i="48" s="1"/>
  <c r="Q171" i="48"/>
  <c r="Q168" i="48"/>
  <c r="E164" i="48"/>
  <c r="E13" i="48" s="1"/>
  <c r="E74" i="46" s="1"/>
  <c r="E149" i="48"/>
  <c r="E152" i="48"/>
  <c r="E155" i="48"/>
  <c r="Q152" i="48"/>
  <c r="Q149" i="48"/>
  <c r="Q164" i="48"/>
  <c r="Q13" i="48" s="1"/>
  <c r="Q74" i="46" s="1"/>
  <c r="Q155" i="48"/>
  <c r="I162" i="47"/>
  <c r="I178" i="47"/>
  <c r="I181" i="47" s="1"/>
  <c r="H171" i="47"/>
  <c r="H183" i="47"/>
  <c r="H14" i="47" s="1"/>
  <c r="H60" i="46" s="1"/>
  <c r="H168" i="47"/>
  <c r="H174" i="47"/>
  <c r="I143" i="47"/>
  <c r="I12" i="47" s="1"/>
  <c r="I58" i="46" s="1"/>
  <c r="I131" i="47"/>
  <c r="I128" i="47"/>
  <c r="I134" i="47"/>
  <c r="Q143" i="47"/>
  <c r="Q12" i="47" s="1"/>
  <c r="Q58" i="46" s="1"/>
  <c r="Q131" i="47"/>
  <c r="Q134" i="47"/>
  <c r="Q128" i="47"/>
  <c r="Q162" i="47"/>
  <c r="Q178" i="47"/>
  <c r="Q181" i="47" s="1"/>
  <c r="H164" i="47"/>
  <c r="H13" i="47" s="1"/>
  <c r="H59" i="46" s="1"/>
  <c r="H152" i="47"/>
  <c r="H149" i="47"/>
  <c r="H155" i="47"/>
  <c r="N152" i="47" l="1"/>
  <c r="N149" i="47"/>
  <c r="N164" i="47"/>
  <c r="N13" i="47" s="1"/>
  <c r="N59" i="46" s="1"/>
  <c r="N155" i="47"/>
  <c r="F152" i="47"/>
  <c r="F149" i="47"/>
  <c r="F164" i="47"/>
  <c r="F13" i="47" s="1"/>
  <c r="F59" i="46" s="1"/>
  <c r="F155" i="47"/>
  <c r="F174" i="47"/>
  <c r="F183" i="47"/>
  <c r="F14" i="47" s="1"/>
  <c r="F60" i="46" s="1"/>
  <c r="F168" i="47"/>
  <c r="F171" i="47"/>
  <c r="N183" i="47"/>
  <c r="N14" i="47" s="1"/>
  <c r="N60" i="46" s="1"/>
  <c r="N174" i="47"/>
  <c r="N168" i="47"/>
  <c r="N171" i="47"/>
  <c r="X16" i="49"/>
  <c r="G95" i="46" s="1"/>
  <c r="F104" i="46"/>
  <c r="X16" i="48"/>
  <c r="G65" i="46" s="1"/>
  <c r="Q75" i="46"/>
  <c r="I183" i="47"/>
  <c r="I14" i="47" s="1"/>
  <c r="I60" i="46" s="1"/>
  <c r="I171" i="47"/>
  <c r="I174" i="47"/>
  <c r="I168" i="47"/>
  <c r="Q164" i="47"/>
  <c r="Q13" i="47" s="1"/>
  <c r="Q59" i="46" s="1"/>
  <c r="Q152" i="47"/>
  <c r="Q149" i="47"/>
  <c r="Q155" i="47"/>
  <c r="Q183" i="47"/>
  <c r="Q14" i="47" s="1"/>
  <c r="Q60" i="46" s="1"/>
  <c r="Q171" i="47"/>
  <c r="Q174" i="47"/>
  <c r="Q168" i="47"/>
  <c r="I164" i="47"/>
  <c r="I13" i="47" s="1"/>
  <c r="I149" i="47"/>
  <c r="I155" i="47"/>
  <c r="I152" i="47"/>
  <c r="X16" i="47" l="1"/>
  <c r="G50" i="46" s="1"/>
  <c r="I59" i="46"/>
  <c r="G129" i="19"/>
  <c r="R129" i="19"/>
  <c r="Q129" i="19"/>
  <c r="P129" i="19"/>
  <c r="O129" i="19"/>
  <c r="N129" i="19"/>
  <c r="M129" i="19"/>
  <c r="L129" i="19"/>
  <c r="K129" i="19"/>
  <c r="J129" i="19"/>
  <c r="I129" i="19"/>
  <c r="H129" i="19"/>
  <c r="F129" i="19"/>
  <c r="E129" i="19"/>
  <c r="D129" i="19"/>
  <c r="C129" i="19"/>
  <c r="U126" i="19"/>
  <c r="U105" i="19"/>
  <c r="R111" i="19"/>
  <c r="Q111" i="19"/>
  <c r="P111" i="19"/>
  <c r="O111" i="19"/>
  <c r="N111" i="19"/>
  <c r="M111" i="19"/>
  <c r="L111" i="19"/>
  <c r="K111" i="19"/>
  <c r="J111" i="19"/>
  <c r="I111" i="19"/>
  <c r="H111" i="19"/>
  <c r="G111" i="19"/>
  <c r="F111" i="19"/>
  <c r="E111" i="19"/>
  <c r="D111" i="19"/>
  <c r="C111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U41" i="19"/>
  <c r="U126" i="38"/>
  <c r="U105" i="38"/>
  <c r="I129" i="38"/>
  <c r="R129" i="38"/>
  <c r="Q129" i="38"/>
  <c r="P129" i="38"/>
  <c r="O129" i="38"/>
  <c r="N129" i="38"/>
  <c r="M129" i="38"/>
  <c r="L129" i="38"/>
  <c r="K129" i="38"/>
  <c r="J129" i="38"/>
  <c r="H129" i="38"/>
  <c r="G129" i="38"/>
  <c r="F129" i="38"/>
  <c r="E129" i="38"/>
  <c r="D129" i="38"/>
  <c r="C129" i="38"/>
  <c r="R111" i="38"/>
  <c r="Q111" i="38"/>
  <c r="P111" i="38"/>
  <c r="O111" i="38"/>
  <c r="N111" i="38"/>
  <c r="M111" i="38"/>
  <c r="L111" i="38"/>
  <c r="K111" i="38"/>
  <c r="J111" i="38"/>
  <c r="I111" i="38"/>
  <c r="H111" i="38"/>
  <c r="G111" i="38"/>
  <c r="F111" i="38"/>
  <c r="E111" i="38"/>
  <c r="D111" i="38"/>
  <c r="C111" i="38"/>
  <c r="U129" i="19" l="1"/>
  <c r="U44" i="19"/>
  <c r="U129" i="38"/>
  <c r="U111" i="38"/>
  <c r="U111" i="19"/>
  <c r="X14" i="19" l="1"/>
  <c r="X15" i="19" s="1"/>
  <c r="G19" i="46" s="1"/>
  <c r="G47" i="38"/>
  <c r="R158" i="38"/>
  <c r="Q158" i="38"/>
  <c r="P158" i="38"/>
  <c r="O158" i="38"/>
  <c r="N158" i="38"/>
  <c r="M158" i="38"/>
  <c r="L158" i="38"/>
  <c r="K158" i="38"/>
  <c r="J158" i="38"/>
  <c r="I158" i="38"/>
  <c r="H158" i="38"/>
  <c r="G158" i="38"/>
  <c r="F158" i="38"/>
  <c r="E158" i="38"/>
  <c r="D158" i="38"/>
  <c r="C158" i="38"/>
  <c r="R158" i="19"/>
  <c r="Q158" i="19"/>
  <c r="P158" i="19"/>
  <c r="O158" i="19"/>
  <c r="N158" i="19"/>
  <c r="M158" i="19"/>
  <c r="L158" i="19"/>
  <c r="K158" i="19"/>
  <c r="J158" i="19"/>
  <c r="I158" i="19"/>
  <c r="H158" i="19"/>
  <c r="G158" i="19"/>
  <c r="F158" i="19"/>
  <c r="E158" i="19"/>
  <c r="D158" i="19"/>
  <c r="C158" i="19"/>
  <c r="F177" i="38"/>
  <c r="Q135" i="38" l="1"/>
  <c r="H47" i="38"/>
  <c r="I47" i="38"/>
  <c r="J47" i="38"/>
  <c r="K47" i="38"/>
  <c r="L47" i="38"/>
  <c r="M47" i="38"/>
  <c r="N47" i="38"/>
  <c r="O47" i="38"/>
  <c r="P47" i="38"/>
  <c r="Q47" i="38"/>
  <c r="R47" i="38"/>
  <c r="C47" i="38"/>
  <c r="D47" i="38"/>
  <c r="E47" i="38"/>
  <c r="F47" i="38"/>
  <c r="U47" i="38" l="1"/>
  <c r="T183" i="38" l="1"/>
  <c r="T182" i="38"/>
  <c r="R182" i="38"/>
  <c r="Q182" i="38"/>
  <c r="P182" i="38"/>
  <c r="O182" i="38"/>
  <c r="N182" i="38"/>
  <c r="M182" i="38"/>
  <c r="L182" i="38"/>
  <c r="K182" i="38"/>
  <c r="J182" i="38"/>
  <c r="I182" i="38"/>
  <c r="H182" i="38"/>
  <c r="G182" i="38"/>
  <c r="F182" i="38"/>
  <c r="E182" i="38"/>
  <c r="D182" i="38"/>
  <c r="C182" i="38"/>
  <c r="T181" i="38"/>
  <c r="T180" i="38"/>
  <c r="R180" i="38"/>
  <c r="Q180" i="38"/>
  <c r="P180" i="38"/>
  <c r="O180" i="38"/>
  <c r="N180" i="38"/>
  <c r="M180" i="38"/>
  <c r="L180" i="38"/>
  <c r="K180" i="38"/>
  <c r="J180" i="38"/>
  <c r="I180" i="38"/>
  <c r="H180" i="38"/>
  <c r="G180" i="38"/>
  <c r="F180" i="38"/>
  <c r="E180" i="38"/>
  <c r="D180" i="38"/>
  <c r="C180" i="38"/>
  <c r="T178" i="38"/>
  <c r="T177" i="38"/>
  <c r="R177" i="38"/>
  <c r="Q177" i="38"/>
  <c r="P177" i="38"/>
  <c r="O177" i="38"/>
  <c r="N177" i="38"/>
  <c r="M177" i="38"/>
  <c r="L177" i="38"/>
  <c r="K177" i="38"/>
  <c r="J177" i="38"/>
  <c r="I177" i="38"/>
  <c r="H177" i="38"/>
  <c r="G177" i="38"/>
  <c r="E177" i="38"/>
  <c r="D177" i="38"/>
  <c r="C177" i="38"/>
  <c r="T175" i="38"/>
  <c r="R175" i="38"/>
  <c r="Q175" i="38"/>
  <c r="P175" i="38"/>
  <c r="O175" i="38"/>
  <c r="N175" i="38"/>
  <c r="M175" i="38"/>
  <c r="L175" i="38"/>
  <c r="K175" i="38"/>
  <c r="J175" i="38"/>
  <c r="I175" i="38"/>
  <c r="H175" i="38"/>
  <c r="G175" i="38"/>
  <c r="F175" i="38"/>
  <c r="E175" i="38"/>
  <c r="D175" i="38"/>
  <c r="C175" i="38"/>
  <c r="T174" i="38"/>
  <c r="T173" i="38"/>
  <c r="T171" i="38"/>
  <c r="T170" i="38"/>
  <c r="T168" i="38"/>
  <c r="T167" i="38"/>
  <c r="T164" i="38"/>
  <c r="T163" i="38"/>
  <c r="R163" i="38"/>
  <c r="Q163" i="38"/>
  <c r="P163" i="38"/>
  <c r="O163" i="38"/>
  <c r="N163" i="38"/>
  <c r="M163" i="38"/>
  <c r="L163" i="38"/>
  <c r="K163" i="38"/>
  <c r="J163" i="38"/>
  <c r="I163" i="38"/>
  <c r="H163" i="38"/>
  <c r="G163" i="38"/>
  <c r="F163" i="38"/>
  <c r="E163" i="38"/>
  <c r="D163" i="38"/>
  <c r="C163" i="38"/>
  <c r="T162" i="38"/>
  <c r="T161" i="38"/>
  <c r="R161" i="38"/>
  <c r="Q161" i="38"/>
  <c r="P161" i="38"/>
  <c r="O161" i="38"/>
  <c r="N161" i="38"/>
  <c r="M161" i="38"/>
  <c r="L161" i="38"/>
  <c r="K161" i="38"/>
  <c r="J161" i="38"/>
  <c r="I161" i="38"/>
  <c r="H161" i="38"/>
  <c r="G161" i="38"/>
  <c r="F161" i="38"/>
  <c r="E161" i="38"/>
  <c r="D161" i="38"/>
  <c r="C161" i="38"/>
  <c r="T159" i="38"/>
  <c r="T158" i="38"/>
  <c r="T156" i="38"/>
  <c r="R156" i="38"/>
  <c r="Q156" i="38"/>
  <c r="P156" i="38"/>
  <c r="O156" i="38"/>
  <c r="N156" i="38"/>
  <c r="M156" i="38"/>
  <c r="L156" i="38"/>
  <c r="K156" i="38"/>
  <c r="J156" i="38"/>
  <c r="I156" i="38"/>
  <c r="H156" i="38"/>
  <c r="G156" i="38"/>
  <c r="F156" i="38"/>
  <c r="E156" i="38"/>
  <c r="D156" i="38"/>
  <c r="C156" i="38"/>
  <c r="T155" i="38"/>
  <c r="T154" i="38"/>
  <c r="T152" i="38"/>
  <c r="T151" i="38"/>
  <c r="T149" i="38"/>
  <c r="T148" i="38"/>
  <c r="T145" i="38"/>
  <c r="R145" i="38"/>
  <c r="Q145" i="38"/>
  <c r="P145" i="38"/>
  <c r="O145" i="38"/>
  <c r="N145" i="38"/>
  <c r="M145" i="38"/>
  <c r="L145" i="38"/>
  <c r="K145" i="38"/>
  <c r="J145" i="38"/>
  <c r="I145" i="38"/>
  <c r="H145" i="38"/>
  <c r="G145" i="38"/>
  <c r="F145" i="38"/>
  <c r="E145" i="38"/>
  <c r="D145" i="38"/>
  <c r="C145" i="38"/>
  <c r="T143" i="38"/>
  <c r="T142" i="38"/>
  <c r="R142" i="38"/>
  <c r="Q142" i="38"/>
  <c r="P142" i="38"/>
  <c r="O142" i="38"/>
  <c r="N142" i="38"/>
  <c r="M142" i="38"/>
  <c r="L142" i="38"/>
  <c r="K142" i="38"/>
  <c r="J142" i="38"/>
  <c r="I142" i="38"/>
  <c r="H142" i="38"/>
  <c r="G142" i="38"/>
  <c r="F142" i="38"/>
  <c r="E142" i="38"/>
  <c r="D142" i="38"/>
  <c r="C142" i="38"/>
  <c r="T141" i="38"/>
  <c r="T140" i="38"/>
  <c r="R140" i="38"/>
  <c r="Q140" i="38"/>
  <c r="P140" i="38"/>
  <c r="O140" i="38"/>
  <c r="N140" i="38"/>
  <c r="M140" i="38"/>
  <c r="L140" i="38"/>
  <c r="K140" i="38"/>
  <c r="J140" i="38"/>
  <c r="I140" i="38"/>
  <c r="H140" i="38"/>
  <c r="G140" i="38"/>
  <c r="F140" i="38"/>
  <c r="E140" i="38"/>
  <c r="D140" i="38"/>
  <c r="C140" i="38"/>
  <c r="T138" i="38"/>
  <c r="T137" i="38"/>
  <c r="R137" i="38"/>
  <c r="Q137" i="38"/>
  <c r="P137" i="38"/>
  <c r="O137" i="38"/>
  <c r="N137" i="38"/>
  <c r="M137" i="38"/>
  <c r="L137" i="38"/>
  <c r="K137" i="38"/>
  <c r="J137" i="38"/>
  <c r="I137" i="38"/>
  <c r="H137" i="38"/>
  <c r="G137" i="38"/>
  <c r="F137" i="38"/>
  <c r="E137" i="38"/>
  <c r="D137" i="38"/>
  <c r="C137" i="38"/>
  <c r="T135" i="38"/>
  <c r="R135" i="38"/>
  <c r="P135" i="38"/>
  <c r="O135" i="38"/>
  <c r="N135" i="38"/>
  <c r="M135" i="38"/>
  <c r="L135" i="38"/>
  <c r="K135" i="38"/>
  <c r="J135" i="38"/>
  <c r="I135" i="38"/>
  <c r="H135" i="38"/>
  <c r="G135" i="38"/>
  <c r="F135" i="38"/>
  <c r="E135" i="38"/>
  <c r="D135" i="38"/>
  <c r="C135" i="38"/>
  <c r="T134" i="38"/>
  <c r="T133" i="38"/>
  <c r="T131" i="38"/>
  <c r="T130" i="38"/>
  <c r="T128" i="38"/>
  <c r="T127" i="38"/>
  <c r="R124" i="38"/>
  <c r="Q124" i="38"/>
  <c r="P124" i="38"/>
  <c r="O124" i="38"/>
  <c r="N124" i="38"/>
  <c r="M124" i="38"/>
  <c r="L124" i="38"/>
  <c r="K124" i="38"/>
  <c r="J124" i="38"/>
  <c r="I124" i="38"/>
  <c r="H124" i="38"/>
  <c r="G124" i="38"/>
  <c r="F124" i="38"/>
  <c r="E124" i="38"/>
  <c r="D124" i="38"/>
  <c r="C124" i="38"/>
  <c r="T122" i="38"/>
  <c r="T121" i="38"/>
  <c r="R121" i="38"/>
  <c r="Q121" i="38"/>
  <c r="P121" i="38"/>
  <c r="O121" i="38"/>
  <c r="N121" i="38"/>
  <c r="M121" i="38"/>
  <c r="L121" i="38"/>
  <c r="K121" i="38"/>
  <c r="J121" i="38"/>
  <c r="I121" i="38"/>
  <c r="H121" i="38"/>
  <c r="G121" i="38"/>
  <c r="F121" i="38"/>
  <c r="E121" i="38"/>
  <c r="D121" i="38"/>
  <c r="C121" i="38"/>
  <c r="T120" i="38"/>
  <c r="T119" i="38"/>
  <c r="T117" i="38"/>
  <c r="T116" i="38"/>
  <c r="R116" i="38"/>
  <c r="Q116" i="38"/>
  <c r="P116" i="38"/>
  <c r="O116" i="38"/>
  <c r="N116" i="38"/>
  <c r="M116" i="38"/>
  <c r="L116" i="38"/>
  <c r="K116" i="38"/>
  <c r="J116" i="38"/>
  <c r="I116" i="38"/>
  <c r="H116" i="38"/>
  <c r="G116" i="38"/>
  <c r="F116" i="38"/>
  <c r="E116" i="38"/>
  <c r="D116" i="38"/>
  <c r="C116" i="38"/>
  <c r="T114" i="38"/>
  <c r="T113" i="38"/>
  <c r="T112" i="38"/>
  <c r="T110" i="38"/>
  <c r="T109" i="38"/>
  <c r="T107" i="38"/>
  <c r="T106" i="38"/>
  <c r="T103" i="38"/>
  <c r="T101" i="38"/>
  <c r="T100" i="38"/>
  <c r="R100" i="38"/>
  <c r="Q100" i="38"/>
  <c r="P100" i="38"/>
  <c r="O100" i="38"/>
  <c r="N100" i="38"/>
  <c r="M100" i="38"/>
  <c r="L100" i="38"/>
  <c r="K100" i="38"/>
  <c r="J100" i="38"/>
  <c r="I100" i="38"/>
  <c r="H100" i="38"/>
  <c r="G100" i="38"/>
  <c r="F100" i="38"/>
  <c r="E100" i="38"/>
  <c r="D100" i="38"/>
  <c r="C100" i="38"/>
  <c r="T99" i="38"/>
  <c r="T98" i="38"/>
  <c r="R98" i="38"/>
  <c r="R103" i="38" s="1"/>
  <c r="Q98" i="38"/>
  <c r="P98" i="38"/>
  <c r="O98" i="38"/>
  <c r="N98" i="38"/>
  <c r="M98" i="38"/>
  <c r="M103" i="38" s="1"/>
  <c r="L98" i="38"/>
  <c r="L103" i="38" s="1"/>
  <c r="K98" i="38"/>
  <c r="K103" i="38" s="1"/>
  <c r="J98" i="38"/>
  <c r="J103" i="38" s="1"/>
  <c r="I98" i="38"/>
  <c r="H98" i="38"/>
  <c r="H103" i="38" s="1"/>
  <c r="G98" i="38"/>
  <c r="G103" i="38" s="1"/>
  <c r="F98" i="38"/>
  <c r="E98" i="38"/>
  <c r="E103" i="38" s="1"/>
  <c r="D98" i="38"/>
  <c r="D103" i="38" s="1"/>
  <c r="C98" i="38"/>
  <c r="C103" i="38" s="1"/>
  <c r="T96" i="38"/>
  <c r="T95" i="38"/>
  <c r="R95" i="38"/>
  <c r="Q95" i="38"/>
  <c r="P95" i="38"/>
  <c r="O95" i="38"/>
  <c r="N95" i="38"/>
  <c r="M95" i="38"/>
  <c r="L95" i="38"/>
  <c r="K95" i="38"/>
  <c r="J95" i="38"/>
  <c r="I95" i="38"/>
  <c r="H95" i="38"/>
  <c r="G95" i="38"/>
  <c r="F95" i="38"/>
  <c r="E95" i="38"/>
  <c r="D95" i="38"/>
  <c r="C95" i="38"/>
  <c r="T93" i="38"/>
  <c r="R93" i="38"/>
  <c r="Q93" i="38"/>
  <c r="P93" i="38"/>
  <c r="O93" i="38"/>
  <c r="N93" i="38"/>
  <c r="M93" i="38"/>
  <c r="L93" i="38"/>
  <c r="K93" i="38"/>
  <c r="J93" i="38"/>
  <c r="I93" i="38"/>
  <c r="H93" i="38"/>
  <c r="G93" i="38"/>
  <c r="F93" i="38"/>
  <c r="E93" i="38"/>
  <c r="D93" i="38"/>
  <c r="C93" i="38"/>
  <c r="T92" i="38"/>
  <c r="T91" i="38"/>
  <c r="T89" i="38"/>
  <c r="T88" i="38"/>
  <c r="T86" i="38"/>
  <c r="T85" i="38"/>
  <c r="R82" i="38"/>
  <c r="Q82" i="38"/>
  <c r="P82" i="38"/>
  <c r="O82" i="38"/>
  <c r="N82" i="38"/>
  <c r="M82" i="38"/>
  <c r="L82" i="38"/>
  <c r="K82" i="38"/>
  <c r="J82" i="38"/>
  <c r="I82" i="38"/>
  <c r="H82" i="38"/>
  <c r="G82" i="38"/>
  <c r="F82" i="38"/>
  <c r="E82" i="38"/>
  <c r="D82" i="38"/>
  <c r="C82" i="38"/>
  <c r="T80" i="38"/>
  <c r="R80" i="38"/>
  <c r="R114" i="38" s="1"/>
  <c r="Q80" i="38"/>
  <c r="P80" i="38"/>
  <c r="O80" i="38"/>
  <c r="N80" i="38"/>
  <c r="M80" i="38"/>
  <c r="L80" i="38"/>
  <c r="K80" i="38"/>
  <c r="J80" i="38"/>
  <c r="J114" i="38" s="1"/>
  <c r="I80" i="38"/>
  <c r="H80" i="38"/>
  <c r="G80" i="38"/>
  <c r="F80" i="38"/>
  <c r="F114" i="38" s="1"/>
  <c r="E80" i="38"/>
  <c r="E114" i="38" s="1"/>
  <c r="D80" i="38"/>
  <c r="D114" i="38" s="1"/>
  <c r="C80" i="38"/>
  <c r="T77" i="38"/>
  <c r="T76" i="38"/>
  <c r="R76" i="38"/>
  <c r="Q76" i="38"/>
  <c r="P76" i="38"/>
  <c r="O76" i="38"/>
  <c r="N76" i="38"/>
  <c r="M76" i="38"/>
  <c r="L76" i="38"/>
  <c r="K76" i="38"/>
  <c r="J76" i="38"/>
  <c r="I76" i="38"/>
  <c r="H76" i="38"/>
  <c r="G76" i="38"/>
  <c r="F76" i="38"/>
  <c r="E76" i="38"/>
  <c r="D76" i="38"/>
  <c r="C76" i="38"/>
  <c r="T75" i="38"/>
  <c r="T74" i="38"/>
  <c r="R74" i="38"/>
  <c r="Q74" i="38"/>
  <c r="P74" i="38"/>
  <c r="O74" i="38"/>
  <c r="N74" i="38"/>
  <c r="M74" i="38"/>
  <c r="L74" i="38"/>
  <c r="K74" i="38"/>
  <c r="J74" i="38"/>
  <c r="I74" i="38"/>
  <c r="H74" i="38"/>
  <c r="G74" i="38"/>
  <c r="F74" i="38"/>
  <c r="E74" i="38"/>
  <c r="D74" i="38"/>
  <c r="C74" i="38"/>
  <c r="T72" i="38"/>
  <c r="T71" i="38"/>
  <c r="R71" i="38"/>
  <c r="Q71" i="38"/>
  <c r="P71" i="38"/>
  <c r="O71" i="38"/>
  <c r="N71" i="38"/>
  <c r="M71" i="38"/>
  <c r="L71" i="38"/>
  <c r="K71" i="38"/>
  <c r="J71" i="38"/>
  <c r="I71" i="38"/>
  <c r="H71" i="38"/>
  <c r="G71" i="38"/>
  <c r="F71" i="38"/>
  <c r="E71" i="38"/>
  <c r="D71" i="38"/>
  <c r="C71" i="38"/>
  <c r="T69" i="38"/>
  <c r="R69" i="38"/>
  <c r="Q69" i="38"/>
  <c r="P69" i="38"/>
  <c r="O69" i="38"/>
  <c r="N69" i="38"/>
  <c r="M69" i="38"/>
  <c r="L69" i="38"/>
  <c r="K69" i="38"/>
  <c r="J69" i="38"/>
  <c r="I69" i="38"/>
  <c r="H69" i="38"/>
  <c r="G69" i="38"/>
  <c r="F69" i="38"/>
  <c r="E69" i="38"/>
  <c r="D69" i="38"/>
  <c r="C69" i="38"/>
  <c r="T68" i="38"/>
  <c r="T67" i="38"/>
  <c r="T65" i="38"/>
  <c r="T64" i="38"/>
  <c r="T62" i="38"/>
  <c r="T61" i="38"/>
  <c r="T58" i="38"/>
  <c r="T57" i="38"/>
  <c r="R57" i="38"/>
  <c r="Q57" i="38"/>
  <c r="P57" i="38"/>
  <c r="O57" i="38"/>
  <c r="N57" i="38"/>
  <c r="M57" i="38"/>
  <c r="L57" i="38"/>
  <c r="K57" i="38"/>
  <c r="J57" i="38"/>
  <c r="I57" i="38"/>
  <c r="H57" i="38"/>
  <c r="G57" i="38"/>
  <c r="F57" i="38"/>
  <c r="E57" i="38"/>
  <c r="D57" i="38"/>
  <c r="C57" i="38"/>
  <c r="T56" i="38"/>
  <c r="T55" i="38"/>
  <c r="R55" i="38"/>
  <c r="Q55" i="38"/>
  <c r="P55" i="38"/>
  <c r="O55" i="38"/>
  <c r="N55" i="38"/>
  <c r="M55" i="38"/>
  <c r="L55" i="38"/>
  <c r="K55" i="38"/>
  <c r="J55" i="38"/>
  <c r="I55" i="38"/>
  <c r="H55" i="38"/>
  <c r="G55" i="38"/>
  <c r="F55" i="38"/>
  <c r="E55" i="38"/>
  <c r="D55" i="38"/>
  <c r="C55" i="38"/>
  <c r="T53" i="38"/>
  <c r="T52" i="38"/>
  <c r="R52" i="38"/>
  <c r="Q52" i="38"/>
  <c r="P52" i="38"/>
  <c r="O52" i="38"/>
  <c r="N52" i="38"/>
  <c r="M52" i="38"/>
  <c r="L52" i="38"/>
  <c r="K52" i="38"/>
  <c r="J52" i="38"/>
  <c r="I52" i="38"/>
  <c r="H52" i="38"/>
  <c r="G52" i="38"/>
  <c r="F52" i="38"/>
  <c r="E52" i="38"/>
  <c r="D52" i="38"/>
  <c r="C52" i="38"/>
  <c r="T50" i="38"/>
  <c r="T49" i="38"/>
  <c r="T48" i="38"/>
  <c r="T46" i="38"/>
  <c r="T45" i="38"/>
  <c r="T43" i="38"/>
  <c r="T42" i="38"/>
  <c r="R37" i="38"/>
  <c r="Q37" i="38"/>
  <c r="P37" i="38"/>
  <c r="O37" i="38"/>
  <c r="N37" i="38"/>
  <c r="M37" i="38"/>
  <c r="L37" i="38"/>
  <c r="K37" i="38"/>
  <c r="J37" i="38"/>
  <c r="I37" i="38"/>
  <c r="H37" i="38"/>
  <c r="G37" i="38"/>
  <c r="F37" i="38"/>
  <c r="E37" i="38"/>
  <c r="E39" i="38" s="1"/>
  <c r="D37" i="38"/>
  <c r="C37" i="38"/>
  <c r="T35" i="38"/>
  <c r="T34" i="38"/>
  <c r="R34" i="38"/>
  <c r="Q34" i="38"/>
  <c r="P34" i="38"/>
  <c r="O34" i="38"/>
  <c r="N34" i="38"/>
  <c r="M34" i="38"/>
  <c r="L34" i="38"/>
  <c r="K34" i="38"/>
  <c r="J34" i="38"/>
  <c r="I34" i="38"/>
  <c r="H34" i="38"/>
  <c r="G34" i="38"/>
  <c r="F34" i="38"/>
  <c r="E34" i="38"/>
  <c r="D34" i="38"/>
  <c r="C34" i="38"/>
  <c r="T33" i="38"/>
  <c r="T32" i="38"/>
  <c r="R32" i="38"/>
  <c r="Q32" i="38"/>
  <c r="P32" i="38"/>
  <c r="O32" i="38"/>
  <c r="N32" i="38"/>
  <c r="M32" i="38"/>
  <c r="L32" i="38"/>
  <c r="K32" i="38"/>
  <c r="K40" i="38" s="1"/>
  <c r="J32" i="38"/>
  <c r="I32" i="38"/>
  <c r="H32" i="38"/>
  <c r="G32" i="38"/>
  <c r="G40" i="38" s="1"/>
  <c r="F32" i="38"/>
  <c r="E32" i="38"/>
  <c r="D32" i="38"/>
  <c r="C32" i="38"/>
  <c r="C40" i="38" s="1"/>
  <c r="T30" i="38"/>
  <c r="T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9" i="38"/>
  <c r="C29" i="38"/>
  <c r="T27" i="38"/>
  <c r="R27" i="38"/>
  <c r="Q27" i="38"/>
  <c r="P27" i="38"/>
  <c r="O27" i="38"/>
  <c r="N27" i="38"/>
  <c r="M27" i="38"/>
  <c r="L27" i="38"/>
  <c r="K27" i="38"/>
  <c r="J27" i="38"/>
  <c r="I27" i="38"/>
  <c r="H27" i="38"/>
  <c r="G27" i="38"/>
  <c r="F27" i="38"/>
  <c r="E27" i="38"/>
  <c r="D27" i="38"/>
  <c r="C27" i="38"/>
  <c r="T26" i="38"/>
  <c r="T25" i="38"/>
  <c r="T23" i="38"/>
  <c r="T22" i="38"/>
  <c r="T20" i="38"/>
  <c r="T19" i="38"/>
  <c r="T18" i="38"/>
  <c r="T140" i="19"/>
  <c r="T19" i="19"/>
  <c r="T20" i="19"/>
  <c r="T22" i="19"/>
  <c r="T23" i="19"/>
  <c r="T25" i="19"/>
  <c r="T26" i="19"/>
  <c r="T27" i="19"/>
  <c r="T29" i="19"/>
  <c r="T30" i="19"/>
  <c r="T32" i="19"/>
  <c r="T33" i="19"/>
  <c r="T34" i="19"/>
  <c r="T35" i="19"/>
  <c r="T42" i="19"/>
  <c r="T43" i="19"/>
  <c r="T45" i="19"/>
  <c r="T46" i="19"/>
  <c r="T48" i="19"/>
  <c r="T49" i="19"/>
  <c r="T50" i="19"/>
  <c r="T52" i="19"/>
  <c r="T53" i="19"/>
  <c r="T55" i="19"/>
  <c r="T56" i="19"/>
  <c r="T57" i="19"/>
  <c r="T58" i="19"/>
  <c r="T61" i="19"/>
  <c r="T62" i="19"/>
  <c r="T64" i="19"/>
  <c r="T65" i="19"/>
  <c r="T67" i="19"/>
  <c r="T68" i="19"/>
  <c r="T69" i="19"/>
  <c r="T71" i="19"/>
  <c r="T72" i="19"/>
  <c r="T74" i="19"/>
  <c r="T75" i="19"/>
  <c r="T76" i="19"/>
  <c r="T77" i="19"/>
  <c r="T80" i="19"/>
  <c r="T85" i="19"/>
  <c r="T86" i="19"/>
  <c r="T88" i="19"/>
  <c r="T89" i="19"/>
  <c r="T91" i="19"/>
  <c r="T92" i="19"/>
  <c r="T93" i="19"/>
  <c r="T95" i="19"/>
  <c r="T96" i="19"/>
  <c r="T98" i="19"/>
  <c r="T99" i="19"/>
  <c r="T100" i="19"/>
  <c r="T101" i="19"/>
  <c r="T103" i="19"/>
  <c r="T106" i="19"/>
  <c r="T107" i="19"/>
  <c r="T109" i="19"/>
  <c r="T110" i="19"/>
  <c r="T112" i="19"/>
  <c r="T113" i="19"/>
  <c r="T114" i="19"/>
  <c r="T116" i="19"/>
  <c r="T117" i="19"/>
  <c r="T119" i="19"/>
  <c r="T120" i="19"/>
  <c r="T121" i="19"/>
  <c r="T122" i="19"/>
  <c r="T127" i="19"/>
  <c r="T128" i="19"/>
  <c r="T130" i="19"/>
  <c r="T131" i="19"/>
  <c r="T133" i="19"/>
  <c r="T134" i="19"/>
  <c r="T135" i="19"/>
  <c r="T137" i="19"/>
  <c r="T138" i="19"/>
  <c r="T141" i="19"/>
  <c r="T142" i="19"/>
  <c r="T143" i="19"/>
  <c r="T145" i="19"/>
  <c r="T148" i="19"/>
  <c r="T149" i="19"/>
  <c r="T151" i="19"/>
  <c r="T152" i="19"/>
  <c r="T154" i="19"/>
  <c r="T155" i="19"/>
  <c r="T156" i="19"/>
  <c r="T158" i="19"/>
  <c r="T159" i="19"/>
  <c r="T161" i="19"/>
  <c r="T162" i="19"/>
  <c r="T163" i="19"/>
  <c r="T164" i="19"/>
  <c r="T167" i="19"/>
  <c r="T168" i="19"/>
  <c r="T170" i="19"/>
  <c r="T171" i="19"/>
  <c r="T173" i="19"/>
  <c r="T174" i="19"/>
  <c r="T175" i="19"/>
  <c r="T177" i="19"/>
  <c r="T178" i="19"/>
  <c r="T180" i="19"/>
  <c r="T181" i="19"/>
  <c r="T182" i="19"/>
  <c r="T183" i="19"/>
  <c r="T18" i="19"/>
  <c r="R137" i="19"/>
  <c r="Q137" i="19"/>
  <c r="P137" i="19"/>
  <c r="O137" i="19"/>
  <c r="N137" i="19"/>
  <c r="M137" i="19"/>
  <c r="L137" i="19"/>
  <c r="K137" i="19"/>
  <c r="J137" i="19"/>
  <c r="I137" i="19"/>
  <c r="H137" i="19"/>
  <c r="G137" i="19"/>
  <c r="F137" i="19"/>
  <c r="E137" i="19"/>
  <c r="D137" i="19"/>
  <c r="C137" i="19"/>
  <c r="D38" i="19"/>
  <c r="E38" i="19"/>
  <c r="F38" i="19"/>
  <c r="G38" i="19"/>
  <c r="H38" i="19"/>
  <c r="I38" i="19"/>
  <c r="J38" i="19"/>
  <c r="K38" i="19"/>
  <c r="L38" i="19"/>
  <c r="M38" i="19"/>
  <c r="N38" i="19"/>
  <c r="O38" i="19"/>
  <c r="P38" i="19"/>
  <c r="Q38" i="19"/>
  <c r="R38" i="19"/>
  <c r="C38" i="19"/>
  <c r="D37" i="19"/>
  <c r="E37" i="19"/>
  <c r="F37" i="19"/>
  <c r="G37" i="19"/>
  <c r="H37" i="19"/>
  <c r="I37" i="19"/>
  <c r="J37" i="19"/>
  <c r="K37" i="19"/>
  <c r="L37" i="19"/>
  <c r="M37" i="19"/>
  <c r="N37" i="19"/>
  <c r="O37" i="19"/>
  <c r="P37" i="19"/>
  <c r="Q37" i="19"/>
  <c r="R37" i="19"/>
  <c r="C37" i="19"/>
  <c r="D180" i="19"/>
  <c r="E180" i="19"/>
  <c r="F180" i="19"/>
  <c r="G180" i="19"/>
  <c r="H180" i="19"/>
  <c r="I180" i="19"/>
  <c r="J180" i="19"/>
  <c r="K180" i="19"/>
  <c r="L180" i="19"/>
  <c r="M180" i="19"/>
  <c r="N180" i="19"/>
  <c r="O180" i="19"/>
  <c r="P180" i="19"/>
  <c r="Q180" i="19"/>
  <c r="R180" i="19"/>
  <c r="C180" i="19"/>
  <c r="D177" i="19"/>
  <c r="E177" i="19"/>
  <c r="F177" i="19"/>
  <c r="G177" i="19"/>
  <c r="H177" i="19"/>
  <c r="I177" i="19"/>
  <c r="J177" i="19"/>
  <c r="K177" i="19"/>
  <c r="L177" i="19"/>
  <c r="M177" i="19"/>
  <c r="N177" i="19"/>
  <c r="O177" i="19"/>
  <c r="P177" i="19"/>
  <c r="Q177" i="19"/>
  <c r="R177" i="19"/>
  <c r="C177" i="19"/>
  <c r="D161" i="19"/>
  <c r="E161" i="19"/>
  <c r="F161" i="19"/>
  <c r="G161" i="19"/>
  <c r="H161" i="19"/>
  <c r="I161" i="19"/>
  <c r="J161" i="19"/>
  <c r="K161" i="19"/>
  <c r="L161" i="19"/>
  <c r="M161" i="19"/>
  <c r="N161" i="19"/>
  <c r="O161" i="19"/>
  <c r="P161" i="19"/>
  <c r="Q161" i="19"/>
  <c r="R161" i="19"/>
  <c r="C161" i="19"/>
  <c r="C140" i="19"/>
  <c r="D140" i="19"/>
  <c r="E140" i="19"/>
  <c r="F140" i="19"/>
  <c r="G140" i="19"/>
  <c r="H140" i="19"/>
  <c r="I140" i="19"/>
  <c r="J140" i="19"/>
  <c r="K140" i="19"/>
  <c r="L140" i="19"/>
  <c r="M140" i="19"/>
  <c r="N140" i="19"/>
  <c r="O140" i="19"/>
  <c r="P140" i="19"/>
  <c r="Q140" i="19"/>
  <c r="R140" i="19"/>
  <c r="D145" i="19"/>
  <c r="E145" i="19"/>
  <c r="F145" i="19"/>
  <c r="G145" i="19"/>
  <c r="H145" i="19"/>
  <c r="I145" i="19"/>
  <c r="J145" i="19"/>
  <c r="K145" i="19"/>
  <c r="L145" i="19"/>
  <c r="M145" i="19"/>
  <c r="N145" i="19"/>
  <c r="O145" i="19"/>
  <c r="P145" i="19"/>
  <c r="Q145" i="19"/>
  <c r="R145" i="19"/>
  <c r="C145" i="19"/>
  <c r="D124" i="19"/>
  <c r="E124" i="19"/>
  <c r="F124" i="19"/>
  <c r="G124" i="19"/>
  <c r="H124" i="19"/>
  <c r="I124" i="19"/>
  <c r="J124" i="19"/>
  <c r="K124" i="19"/>
  <c r="L124" i="19"/>
  <c r="M124" i="19"/>
  <c r="N124" i="19"/>
  <c r="O124" i="19"/>
  <c r="P124" i="19"/>
  <c r="Q124" i="19"/>
  <c r="R124" i="19"/>
  <c r="C124" i="19"/>
  <c r="D82" i="19"/>
  <c r="E82" i="19"/>
  <c r="F82" i="19"/>
  <c r="G82" i="19"/>
  <c r="H82" i="19"/>
  <c r="I82" i="19"/>
  <c r="J82" i="19"/>
  <c r="K82" i="19"/>
  <c r="L82" i="19"/>
  <c r="M82" i="19"/>
  <c r="N82" i="19"/>
  <c r="O82" i="19"/>
  <c r="P82" i="19"/>
  <c r="Q82" i="19"/>
  <c r="R82" i="19"/>
  <c r="C82" i="19"/>
  <c r="D80" i="19"/>
  <c r="E80" i="19"/>
  <c r="F80" i="19"/>
  <c r="G80" i="19"/>
  <c r="H80" i="19"/>
  <c r="I80" i="19"/>
  <c r="J80" i="19"/>
  <c r="K80" i="19"/>
  <c r="L80" i="19"/>
  <c r="M80" i="19"/>
  <c r="N80" i="19"/>
  <c r="O80" i="19"/>
  <c r="P80" i="19"/>
  <c r="Q80" i="19"/>
  <c r="R80" i="19"/>
  <c r="C80" i="19"/>
  <c r="D116" i="19"/>
  <c r="E116" i="19"/>
  <c r="F116" i="19"/>
  <c r="G116" i="19"/>
  <c r="H116" i="19"/>
  <c r="I116" i="19"/>
  <c r="J116" i="19"/>
  <c r="K116" i="19"/>
  <c r="L116" i="19"/>
  <c r="M116" i="19"/>
  <c r="N116" i="19"/>
  <c r="O116" i="19"/>
  <c r="P116" i="19"/>
  <c r="Q116" i="19"/>
  <c r="R116" i="19"/>
  <c r="C116" i="19"/>
  <c r="D98" i="19"/>
  <c r="E98" i="19"/>
  <c r="F98" i="19"/>
  <c r="G98" i="19"/>
  <c r="H98" i="19"/>
  <c r="I98" i="19"/>
  <c r="J98" i="19"/>
  <c r="K98" i="19"/>
  <c r="L98" i="19"/>
  <c r="M98" i="19"/>
  <c r="N98" i="19"/>
  <c r="O98" i="19"/>
  <c r="P98" i="19"/>
  <c r="Q98" i="19"/>
  <c r="R98" i="19"/>
  <c r="C98" i="19"/>
  <c r="C103" i="19" s="1"/>
  <c r="D95" i="19"/>
  <c r="E95" i="19"/>
  <c r="F95" i="19"/>
  <c r="G95" i="19"/>
  <c r="H95" i="19"/>
  <c r="I95" i="19"/>
  <c r="J95" i="19"/>
  <c r="K95" i="19"/>
  <c r="L95" i="19"/>
  <c r="M95" i="19"/>
  <c r="N95" i="19"/>
  <c r="O95" i="19"/>
  <c r="P95" i="19"/>
  <c r="Q95" i="19"/>
  <c r="R95" i="19"/>
  <c r="C95" i="19"/>
  <c r="D74" i="19"/>
  <c r="E74" i="19"/>
  <c r="F74" i="19"/>
  <c r="G74" i="19"/>
  <c r="H74" i="19"/>
  <c r="I74" i="19"/>
  <c r="J74" i="19"/>
  <c r="K74" i="19"/>
  <c r="L74" i="19"/>
  <c r="M74" i="19"/>
  <c r="N74" i="19"/>
  <c r="O74" i="19"/>
  <c r="P74" i="19"/>
  <c r="Q74" i="19"/>
  <c r="R74" i="19"/>
  <c r="C74" i="19"/>
  <c r="D71" i="19"/>
  <c r="E71" i="19"/>
  <c r="F71" i="19"/>
  <c r="G71" i="19"/>
  <c r="H71" i="19"/>
  <c r="I71" i="19"/>
  <c r="J71" i="19"/>
  <c r="K71" i="19"/>
  <c r="L71" i="19"/>
  <c r="M71" i="19"/>
  <c r="N71" i="19"/>
  <c r="O71" i="19"/>
  <c r="P71" i="19"/>
  <c r="Q71" i="19"/>
  <c r="R71" i="19"/>
  <c r="C71" i="19"/>
  <c r="D55" i="19"/>
  <c r="E55" i="19"/>
  <c r="F55" i="19"/>
  <c r="G55" i="19"/>
  <c r="H55" i="19"/>
  <c r="I55" i="19"/>
  <c r="J55" i="19"/>
  <c r="K55" i="19"/>
  <c r="L55" i="19"/>
  <c r="M55" i="19"/>
  <c r="N55" i="19"/>
  <c r="O55" i="19"/>
  <c r="P55" i="19"/>
  <c r="Q55" i="19"/>
  <c r="R55" i="19"/>
  <c r="C55" i="19"/>
  <c r="D32" i="19"/>
  <c r="E32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C32" i="19"/>
  <c r="R52" i="19"/>
  <c r="D52" i="19"/>
  <c r="E52" i="19"/>
  <c r="F52" i="19"/>
  <c r="G52" i="19"/>
  <c r="H52" i="19"/>
  <c r="I52" i="19"/>
  <c r="J52" i="19"/>
  <c r="K52" i="19"/>
  <c r="L52" i="19"/>
  <c r="M52" i="19"/>
  <c r="N52" i="19"/>
  <c r="O52" i="19"/>
  <c r="P52" i="19"/>
  <c r="Q52" i="19"/>
  <c r="C52" i="19"/>
  <c r="D29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C29" i="19"/>
  <c r="I30" i="38" l="1"/>
  <c r="Q30" i="38"/>
  <c r="F30" i="38"/>
  <c r="F33" i="38" s="1"/>
  <c r="J30" i="38"/>
  <c r="J33" i="38" s="1"/>
  <c r="R30" i="38"/>
  <c r="R33" i="38" s="1"/>
  <c r="R26" i="38" s="1"/>
  <c r="F40" i="38"/>
  <c r="N40" i="38"/>
  <c r="E30" i="38"/>
  <c r="E33" i="38" s="1"/>
  <c r="L30" i="38"/>
  <c r="L33" i="38" s="1"/>
  <c r="L26" i="38" s="1"/>
  <c r="O40" i="38"/>
  <c r="D39" i="38"/>
  <c r="H114" i="38"/>
  <c r="P114" i="38"/>
  <c r="I114" i="38"/>
  <c r="O114" i="38"/>
  <c r="D40" i="38"/>
  <c r="L40" i="38"/>
  <c r="H39" i="38"/>
  <c r="P39" i="38"/>
  <c r="R39" i="38"/>
  <c r="C30" i="38"/>
  <c r="C33" i="38" s="1"/>
  <c r="C35" i="38" s="1"/>
  <c r="C7" i="38" s="1"/>
  <c r="C38" i="46" s="1"/>
  <c r="K30" i="38"/>
  <c r="K33" i="38" s="1"/>
  <c r="E40" i="38"/>
  <c r="M40" i="38"/>
  <c r="I39" i="38"/>
  <c r="Q39" i="38"/>
  <c r="Q114" i="38"/>
  <c r="K39" i="38"/>
  <c r="N30" i="38"/>
  <c r="N33" i="38" s="1"/>
  <c r="H40" i="38"/>
  <c r="L39" i="38"/>
  <c r="O30" i="38"/>
  <c r="O33" i="38" s="1"/>
  <c r="I33" i="38"/>
  <c r="I26" i="38" s="1"/>
  <c r="I40" i="38"/>
  <c r="Q33" i="38"/>
  <c r="Q35" i="38" s="1"/>
  <c r="Q7" i="38" s="1"/>
  <c r="Q38" i="46" s="1"/>
  <c r="Q40" i="38"/>
  <c r="J39" i="38"/>
  <c r="M114" i="38"/>
  <c r="K114" i="38"/>
  <c r="L114" i="38"/>
  <c r="H30" i="38"/>
  <c r="H33" i="38" s="1"/>
  <c r="P30" i="38"/>
  <c r="P33" i="38" s="1"/>
  <c r="P35" i="38" s="1"/>
  <c r="P7" i="38" s="1"/>
  <c r="P38" i="46" s="1"/>
  <c r="J40" i="38"/>
  <c r="R40" i="38"/>
  <c r="F39" i="38"/>
  <c r="M39" i="38"/>
  <c r="N114" i="38"/>
  <c r="C39" i="38"/>
  <c r="C114" i="38"/>
  <c r="P40" i="38"/>
  <c r="G30" i="38"/>
  <c r="G33" i="38" s="1"/>
  <c r="G35" i="38" s="1"/>
  <c r="G7" i="38" s="1"/>
  <c r="G38" i="46" s="1"/>
  <c r="G39" i="38"/>
  <c r="O39" i="38"/>
  <c r="N39" i="38"/>
  <c r="G114" i="38"/>
  <c r="R35" i="38"/>
  <c r="R7" i="38" s="1"/>
  <c r="R38" i="46" s="1"/>
  <c r="D30" i="38"/>
  <c r="Q103" i="38"/>
  <c r="M30" i="38"/>
  <c r="M33" i="38" s="1"/>
  <c r="I103" i="38"/>
  <c r="F103" i="38"/>
  <c r="N103" i="38"/>
  <c r="O103" i="38"/>
  <c r="P103" i="38"/>
  <c r="R182" i="31"/>
  <c r="Q182" i="31"/>
  <c r="P182" i="31"/>
  <c r="O182" i="31"/>
  <c r="N182" i="31"/>
  <c r="M182" i="31"/>
  <c r="L182" i="31"/>
  <c r="K182" i="31"/>
  <c r="J182" i="31"/>
  <c r="I182" i="31"/>
  <c r="H182" i="31"/>
  <c r="G182" i="31"/>
  <c r="F182" i="31"/>
  <c r="E182" i="31"/>
  <c r="D182" i="31"/>
  <c r="C182" i="31"/>
  <c r="R175" i="31"/>
  <c r="Q175" i="31"/>
  <c r="P175" i="31"/>
  <c r="O175" i="31"/>
  <c r="N175" i="31"/>
  <c r="M175" i="31"/>
  <c r="L175" i="31"/>
  <c r="K175" i="31"/>
  <c r="J175" i="31"/>
  <c r="I175" i="31"/>
  <c r="H175" i="31"/>
  <c r="G175" i="31"/>
  <c r="F175" i="31"/>
  <c r="E175" i="31"/>
  <c r="D175" i="31"/>
  <c r="C175" i="31"/>
  <c r="R163" i="31"/>
  <c r="Q163" i="31"/>
  <c r="P163" i="31"/>
  <c r="O163" i="31"/>
  <c r="N163" i="31"/>
  <c r="M163" i="31"/>
  <c r="L163" i="31"/>
  <c r="K163" i="31"/>
  <c r="J163" i="31"/>
  <c r="I163" i="31"/>
  <c r="H163" i="31"/>
  <c r="G163" i="31"/>
  <c r="F163" i="31"/>
  <c r="E163" i="31"/>
  <c r="D163" i="31"/>
  <c r="C163" i="31"/>
  <c r="R156" i="31"/>
  <c r="Q156" i="31"/>
  <c r="P156" i="31"/>
  <c r="O156" i="31"/>
  <c r="N156" i="31"/>
  <c r="M156" i="31"/>
  <c r="L156" i="31"/>
  <c r="K156" i="31"/>
  <c r="J156" i="31"/>
  <c r="I156" i="31"/>
  <c r="H156" i="31"/>
  <c r="G156" i="31"/>
  <c r="F156" i="31"/>
  <c r="E156" i="31"/>
  <c r="D156" i="31"/>
  <c r="C156" i="31"/>
  <c r="R142" i="31"/>
  <c r="Q142" i="31"/>
  <c r="P142" i="31"/>
  <c r="O142" i="31"/>
  <c r="N142" i="31"/>
  <c r="M142" i="31"/>
  <c r="L142" i="31"/>
  <c r="K142" i="31"/>
  <c r="J142" i="31"/>
  <c r="I142" i="31"/>
  <c r="H142" i="31"/>
  <c r="G142" i="31"/>
  <c r="F142" i="31"/>
  <c r="E142" i="31"/>
  <c r="D142" i="31"/>
  <c r="C142" i="31"/>
  <c r="R135" i="31"/>
  <c r="Q135" i="31"/>
  <c r="P135" i="31"/>
  <c r="O135" i="31"/>
  <c r="N135" i="31"/>
  <c r="M135" i="31"/>
  <c r="L135" i="31"/>
  <c r="K135" i="31"/>
  <c r="J135" i="31"/>
  <c r="I135" i="31"/>
  <c r="H135" i="31"/>
  <c r="G135" i="31"/>
  <c r="F135" i="31"/>
  <c r="E135" i="31"/>
  <c r="D135" i="31"/>
  <c r="C135" i="31"/>
  <c r="R121" i="31"/>
  <c r="Q121" i="31"/>
  <c r="P121" i="31"/>
  <c r="O121" i="31"/>
  <c r="N121" i="31"/>
  <c r="M121" i="31"/>
  <c r="L121" i="31"/>
  <c r="K121" i="31"/>
  <c r="J121" i="31"/>
  <c r="I121" i="31"/>
  <c r="H121" i="31"/>
  <c r="G121" i="31"/>
  <c r="F121" i="31"/>
  <c r="E121" i="31"/>
  <c r="D121" i="31"/>
  <c r="C121" i="31"/>
  <c r="R106" i="31"/>
  <c r="R114" i="31" s="1"/>
  <c r="Q106" i="31"/>
  <c r="Q114" i="31" s="1"/>
  <c r="P106" i="31"/>
  <c r="P114" i="31" s="1"/>
  <c r="O106" i="31"/>
  <c r="O114" i="31" s="1"/>
  <c r="N106" i="31"/>
  <c r="N114" i="31" s="1"/>
  <c r="M106" i="31"/>
  <c r="M114" i="31" s="1"/>
  <c r="L106" i="31"/>
  <c r="L114" i="31" s="1"/>
  <c r="K106" i="31"/>
  <c r="K114" i="31" s="1"/>
  <c r="J106" i="31"/>
  <c r="J114" i="31" s="1"/>
  <c r="I106" i="31"/>
  <c r="I114" i="31" s="1"/>
  <c r="H106" i="31"/>
  <c r="H114" i="31" s="1"/>
  <c r="G106" i="31"/>
  <c r="G114" i="31" s="1"/>
  <c r="F106" i="31"/>
  <c r="F114" i="31" s="1"/>
  <c r="E106" i="31"/>
  <c r="E114" i="31" s="1"/>
  <c r="D106" i="31"/>
  <c r="D114" i="31" s="1"/>
  <c r="C106" i="31"/>
  <c r="C114" i="31" s="1"/>
  <c r="R103" i="31"/>
  <c r="Q103" i="31"/>
  <c r="P103" i="31"/>
  <c r="O103" i="31"/>
  <c r="N103" i="31"/>
  <c r="M103" i="31"/>
  <c r="L103" i="31"/>
  <c r="K103" i="31"/>
  <c r="J103" i="31"/>
  <c r="I103" i="31"/>
  <c r="H103" i="31"/>
  <c r="G103" i="31"/>
  <c r="F103" i="31"/>
  <c r="E103" i="31"/>
  <c r="D103" i="31"/>
  <c r="C103" i="31"/>
  <c r="R100" i="31"/>
  <c r="Q100" i="31"/>
  <c r="P100" i="31"/>
  <c r="O100" i="31"/>
  <c r="N100" i="31"/>
  <c r="M100" i="31"/>
  <c r="L100" i="31"/>
  <c r="K100" i="31"/>
  <c r="J100" i="31"/>
  <c r="I100" i="31"/>
  <c r="H100" i="31"/>
  <c r="G100" i="31"/>
  <c r="F100" i="31"/>
  <c r="E100" i="31"/>
  <c r="D100" i="31"/>
  <c r="C100" i="31"/>
  <c r="R93" i="31"/>
  <c r="Q93" i="31"/>
  <c r="P93" i="31"/>
  <c r="O93" i="31"/>
  <c r="N93" i="31"/>
  <c r="M93" i="31"/>
  <c r="L93" i="31"/>
  <c r="K93" i="31"/>
  <c r="J93" i="31"/>
  <c r="I93" i="31"/>
  <c r="H93" i="31"/>
  <c r="G93" i="31"/>
  <c r="F93" i="31"/>
  <c r="E93" i="31"/>
  <c r="D93" i="31"/>
  <c r="C93" i="31"/>
  <c r="R76" i="31"/>
  <c r="Q76" i="31"/>
  <c r="P76" i="31"/>
  <c r="O76" i="31"/>
  <c r="N76" i="31"/>
  <c r="M76" i="31"/>
  <c r="L76" i="31"/>
  <c r="K76" i="31"/>
  <c r="J76" i="31"/>
  <c r="I76" i="31"/>
  <c r="H76" i="31"/>
  <c r="G76" i="31"/>
  <c r="F76" i="31"/>
  <c r="E76" i="31"/>
  <c r="D76" i="31"/>
  <c r="C76" i="31"/>
  <c r="R69" i="31"/>
  <c r="Q69" i="31"/>
  <c r="P69" i="31"/>
  <c r="O69" i="31"/>
  <c r="N69" i="31"/>
  <c r="M69" i="31"/>
  <c r="L69" i="31"/>
  <c r="K69" i="31"/>
  <c r="J69" i="31"/>
  <c r="I69" i="31"/>
  <c r="H69" i="31"/>
  <c r="G69" i="31"/>
  <c r="F69" i="31"/>
  <c r="E69" i="31"/>
  <c r="D69" i="31"/>
  <c r="C69" i="31"/>
  <c r="R57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E57" i="31"/>
  <c r="D57" i="31"/>
  <c r="C57" i="31"/>
  <c r="R50" i="31"/>
  <c r="Q50" i="31"/>
  <c r="P50" i="31"/>
  <c r="O50" i="31"/>
  <c r="N50" i="31"/>
  <c r="M50" i="31"/>
  <c r="L50" i="31"/>
  <c r="K50" i="31"/>
  <c r="J50" i="31"/>
  <c r="I50" i="31"/>
  <c r="H50" i="31"/>
  <c r="G50" i="31"/>
  <c r="F50" i="31"/>
  <c r="E50" i="31"/>
  <c r="D50" i="31"/>
  <c r="C50" i="31"/>
  <c r="R39" i="31"/>
  <c r="Q39" i="31"/>
  <c r="P39" i="31"/>
  <c r="O39" i="31"/>
  <c r="N39" i="31"/>
  <c r="M39" i="31"/>
  <c r="L39" i="31"/>
  <c r="K39" i="31"/>
  <c r="J39" i="31"/>
  <c r="I39" i="31"/>
  <c r="H39" i="31"/>
  <c r="G39" i="31"/>
  <c r="F39" i="31"/>
  <c r="E39" i="31"/>
  <c r="D39" i="31"/>
  <c r="C39" i="31"/>
  <c r="R34" i="31"/>
  <c r="Q34" i="31"/>
  <c r="P34" i="31"/>
  <c r="O34" i="31"/>
  <c r="N34" i="31"/>
  <c r="M34" i="31"/>
  <c r="L34" i="31"/>
  <c r="K34" i="31"/>
  <c r="J34" i="31"/>
  <c r="I34" i="31"/>
  <c r="H34" i="31"/>
  <c r="G34" i="31"/>
  <c r="F34" i="31"/>
  <c r="E34" i="31"/>
  <c r="D34" i="31"/>
  <c r="C34" i="31"/>
  <c r="R27" i="31"/>
  <c r="R30" i="31" s="1"/>
  <c r="Q27" i="31"/>
  <c r="Q30" i="31" s="1"/>
  <c r="P27" i="31"/>
  <c r="P30" i="31" s="1"/>
  <c r="O27" i="31"/>
  <c r="O30" i="31" s="1"/>
  <c r="N27" i="31"/>
  <c r="N30" i="31" s="1"/>
  <c r="M27" i="31"/>
  <c r="M30" i="31" s="1"/>
  <c r="M33" i="31" s="1"/>
  <c r="L27" i="31"/>
  <c r="L30" i="31" s="1"/>
  <c r="L33" i="31" s="1"/>
  <c r="K27" i="31"/>
  <c r="K30" i="31" s="1"/>
  <c r="K33" i="31" s="1"/>
  <c r="J27" i="31"/>
  <c r="J30" i="31" s="1"/>
  <c r="I27" i="31"/>
  <c r="I30" i="31" s="1"/>
  <c r="I53" i="31" s="1"/>
  <c r="I56" i="31" s="1"/>
  <c r="H27" i="31"/>
  <c r="H30" i="31" s="1"/>
  <c r="H33" i="31" s="1"/>
  <c r="G27" i="31"/>
  <c r="G30" i="31" s="1"/>
  <c r="G33" i="31" s="1"/>
  <c r="F27" i="31"/>
  <c r="F30" i="31" s="1"/>
  <c r="E27" i="31"/>
  <c r="E30" i="31" s="1"/>
  <c r="E33" i="31" s="1"/>
  <c r="D27" i="31"/>
  <c r="D30" i="31" s="1"/>
  <c r="D33" i="31" s="1"/>
  <c r="C27" i="31"/>
  <c r="C30" i="31" s="1"/>
  <c r="C33" i="31" s="1"/>
  <c r="R175" i="19"/>
  <c r="Q175" i="19"/>
  <c r="P175" i="19"/>
  <c r="O175" i="19"/>
  <c r="N175" i="19"/>
  <c r="M175" i="19"/>
  <c r="L175" i="19"/>
  <c r="K175" i="19"/>
  <c r="J175" i="19"/>
  <c r="I175" i="19"/>
  <c r="H175" i="19"/>
  <c r="G175" i="19"/>
  <c r="F175" i="19"/>
  <c r="E175" i="19"/>
  <c r="D175" i="19"/>
  <c r="C175" i="19"/>
  <c r="R156" i="19"/>
  <c r="Q156" i="19"/>
  <c r="P156" i="19"/>
  <c r="O156" i="19"/>
  <c r="N156" i="19"/>
  <c r="M156" i="19"/>
  <c r="L156" i="19"/>
  <c r="K156" i="19"/>
  <c r="J156" i="19"/>
  <c r="I156" i="19"/>
  <c r="H156" i="19"/>
  <c r="G156" i="19"/>
  <c r="F156" i="19"/>
  <c r="E156" i="19"/>
  <c r="D156" i="19"/>
  <c r="C156" i="19"/>
  <c r="R135" i="19"/>
  <c r="Q135" i="19"/>
  <c r="P135" i="19"/>
  <c r="O135" i="19"/>
  <c r="N135" i="19"/>
  <c r="M135" i="19"/>
  <c r="L135" i="19"/>
  <c r="K135" i="19"/>
  <c r="J135" i="19"/>
  <c r="I135" i="19"/>
  <c r="H135" i="19"/>
  <c r="G135" i="19"/>
  <c r="F135" i="19"/>
  <c r="E135" i="19"/>
  <c r="D135" i="19"/>
  <c r="C135" i="19"/>
  <c r="R93" i="19"/>
  <c r="Q93" i="19"/>
  <c r="P93" i="19"/>
  <c r="O93" i="19"/>
  <c r="N93" i="19"/>
  <c r="M93" i="19"/>
  <c r="L93" i="19"/>
  <c r="K93" i="19"/>
  <c r="J93" i="19"/>
  <c r="I93" i="19"/>
  <c r="H93" i="19"/>
  <c r="G93" i="19"/>
  <c r="F93" i="19"/>
  <c r="E93" i="19"/>
  <c r="D93" i="19"/>
  <c r="C93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Q26" i="38" l="1"/>
  <c r="R23" i="38"/>
  <c r="Q23" i="38"/>
  <c r="M53" i="31"/>
  <c r="M56" i="31" s="1"/>
  <c r="K53" i="31"/>
  <c r="K56" i="31" s="1"/>
  <c r="K58" i="31" s="1"/>
  <c r="K8" i="31" s="1"/>
  <c r="K9" i="46" s="1"/>
  <c r="G20" i="38"/>
  <c r="G26" i="38"/>
  <c r="E53" i="31"/>
  <c r="E72" i="31" s="1"/>
  <c r="L53" i="31"/>
  <c r="K35" i="38"/>
  <c r="K7" i="38" s="1"/>
  <c r="K38" i="46" s="1"/>
  <c r="K23" i="38"/>
  <c r="K20" i="38"/>
  <c r="H53" i="31"/>
  <c r="H56" i="31" s="1"/>
  <c r="H49" i="31" s="1"/>
  <c r="G23" i="38"/>
  <c r="D50" i="38"/>
  <c r="D53" i="38" s="1"/>
  <c r="D56" i="38" s="1"/>
  <c r="I35" i="38"/>
  <c r="I7" i="38" s="1"/>
  <c r="I38" i="46" s="1"/>
  <c r="Q20" i="38"/>
  <c r="I23" i="38"/>
  <c r="R20" i="38"/>
  <c r="L44" i="38"/>
  <c r="C44" i="38"/>
  <c r="C50" i="38"/>
  <c r="C53" i="38" s="1"/>
  <c r="C72" i="38" s="1"/>
  <c r="G50" i="38"/>
  <c r="G53" i="38" s="1"/>
  <c r="K44" i="38"/>
  <c r="K50" i="38"/>
  <c r="K53" i="38" s="1"/>
  <c r="K72" i="38" s="1"/>
  <c r="K75" i="38" s="1"/>
  <c r="K77" i="38" s="1"/>
  <c r="K9" i="38" s="1"/>
  <c r="K40" i="46" s="1"/>
  <c r="F50" i="38"/>
  <c r="F53" i="38" s="1"/>
  <c r="H35" i="38"/>
  <c r="H7" i="38" s="1"/>
  <c r="H38" i="46" s="1"/>
  <c r="H20" i="38"/>
  <c r="H26" i="38"/>
  <c r="H23" i="38"/>
  <c r="O44" i="38"/>
  <c r="O50" i="38"/>
  <c r="O53" i="38" s="1"/>
  <c r="O72" i="38" s="1"/>
  <c r="I44" i="38"/>
  <c r="I50" i="38"/>
  <c r="I53" i="38" s="1"/>
  <c r="I56" i="38" s="1"/>
  <c r="I58" i="38" s="1"/>
  <c r="I8" i="38" s="1"/>
  <c r="I39" i="46" s="1"/>
  <c r="P26" i="38"/>
  <c r="N44" i="38"/>
  <c r="N50" i="38"/>
  <c r="N53" i="38" s="1"/>
  <c r="Q44" i="38"/>
  <c r="Q50" i="38"/>
  <c r="Q53" i="38" s="1"/>
  <c r="Q56" i="38" s="1"/>
  <c r="Q49" i="38" s="1"/>
  <c r="I20" i="38"/>
  <c r="P23" i="38"/>
  <c r="R44" i="38"/>
  <c r="R50" i="38"/>
  <c r="R53" i="38" s="1"/>
  <c r="R72" i="38" s="1"/>
  <c r="R96" i="38" s="1"/>
  <c r="E44" i="38"/>
  <c r="E50" i="38"/>
  <c r="E53" i="38" s="1"/>
  <c r="L50" i="38"/>
  <c r="L53" i="38" s="1"/>
  <c r="L56" i="38" s="1"/>
  <c r="L49" i="38" s="1"/>
  <c r="K26" i="38"/>
  <c r="J44" i="38"/>
  <c r="J50" i="38"/>
  <c r="J53" i="38" s="1"/>
  <c r="J56" i="38" s="1"/>
  <c r="J49" i="38" s="1"/>
  <c r="D44" i="38"/>
  <c r="P20" i="38"/>
  <c r="D53" i="31"/>
  <c r="D56" i="31" s="1"/>
  <c r="D49" i="31" s="1"/>
  <c r="G26" i="31"/>
  <c r="C53" i="31"/>
  <c r="C56" i="31" s="1"/>
  <c r="C43" i="31" s="1"/>
  <c r="C26" i="38"/>
  <c r="C20" i="38"/>
  <c r="C23" i="38"/>
  <c r="E23" i="38"/>
  <c r="E35" i="38"/>
  <c r="E7" i="38" s="1"/>
  <c r="E38" i="46" s="1"/>
  <c r="E20" i="38"/>
  <c r="E26" i="38"/>
  <c r="N35" i="38"/>
  <c r="N7" i="38" s="1"/>
  <c r="N38" i="46" s="1"/>
  <c r="N20" i="38"/>
  <c r="N23" i="38"/>
  <c r="N26" i="38"/>
  <c r="J35" i="38"/>
  <c r="J7" i="38" s="1"/>
  <c r="J38" i="46" s="1"/>
  <c r="J23" i="38"/>
  <c r="J20" i="38"/>
  <c r="J26" i="38"/>
  <c r="D33" i="38"/>
  <c r="O35" i="38"/>
  <c r="O7" i="38" s="1"/>
  <c r="O38" i="46" s="1"/>
  <c r="O23" i="38"/>
  <c r="F35" i="38"/>
  <c r="F7" i="38" s="1"/>
  <c r="F38" i="46" s="1"/>
  <c r="F20" i="38"/>
  <c r="F26" i="38"/>
  <c r="F23" i="38"/>
  <c r="O26" i="38"/>
  <c r="M23" i="38"/>
  <c r="M26" i="38"/>
  <c r="M20" i="38"/>
  <c r="M35" i="38"/>
  <c r="M7" i="38" s="1"/>
  <c r="M38" i="46" s="1"/>
  <c r="O20" i="38"/>
  <c r="L35" i="38"/>
  <c r="L7" i="38" s="1"/>
  <c r="L38" i="46" s="1"/>
  <c r="L23" i="38"/>
  <c r="L20" i="38"/>
  <c r="G35" i="31"/>
  <c r="G7" i="31" s="1"/>
  <c r="G8" i="46" s="1"/>
  <c r="I72" i="31"/>
  <c r="I75" i="31" s="1"/>
  <c r="I62" i="31" s="1"/>
  <c r="M72" i="31"/>
  <c r="M75" i="31" s="1"/>
  <c r="M68" i="31" s="1"/>
  <c r="H20" i="31"/>
  <c r="H26" i="31"/>
  <c r="H23" i="31"/>
  <c r="H35" i="31"/>
  <c r="H7" i="31" s="1"/>
  <c r="H8" i="46" s="1"/>
  <c r="F33" i="31"/>
  <c r="F35" i="31" s="1"/>
  <c r="F7" i="31" s="1"/>
  <c r="F8" i="46" s="1"/>
  <c r="F53" i="31"/>
  <c r="N53" i="31"/>
  <c r="N33" i="31"/>
  <c r="I46" i="31"/>
  <c r="I58" i="31"/>
  <c r="I8" i="31" s="1"/>
  <c r="I9" i="46" s="1"/>
  <c r="O53" i="31"/>
  <c r="O56" i="31" s="1"/>
  <c r="O49" i="31" s="1"/>
  <c r="O33" i="31"/>
  <c r="H43" i="31"/>
  <c r="P33" i="31"/>
  <c r="P53" i="31"/>
  <c r="P56" i="31" s="1"/>
  <c r="P58" i="31" s="1"/>
  <c r="P8" i="31" s="1"/>
  <c r="P9" i="46" s="1"/>
  <c r="Q53" i="31"/>
  <c r="Q33" i="31"/>
  <c r="E35" i="31"/>
  <c r="E7" i="31" s="1"/>
  <c r="E8" i="46" s="1"/>
  <c r="E26" i="31"/>
  <c r="E23" i="31"/>
  <c r="E20" i="31"/>
  <c r="I33" i="31"/>
  <c r="K35" i="31"/>
  <c r="K7" i="31" s="1"/>
  <c r="K8" i="46" s="1"/>
  <c r="K23" i="31"/>
  <c r="K20" i="31"/>
  <c r="K26" i="31"/>
  <c r="G53" i="31"/>
  <c r="G56" i="31" s="1"/>
  <c r="G46" i="31" s="1"/>
  <c r="G20" i="31"/>
  <c r="G23" i="31"/>
  <c r="D26" i="31"/>
  <c r="D35" i="31"/>
  <c r="D7" i="31" s="1"/>
  <c r="D8" i="46" s="1"/>
  <c r="D23" i="31"/>
  <c r="D20" i="31"/>
  <c r="L35" i="31"/>
  <c r="L7" i="31" s="1"/>
  <c r="L8" i="46" s="1"/>
  <c r="L20" i="31"/>
  <c r="L26" i="31"/>
  <c r="L23" i="31"/>
  <c r="M35" i="31"/>
  <c r="M7" i="31" s="1"/>
  <c r="M8" i="46" s="1"/>
  <c r="M26" i="31"/>
  <c r="M23" i="31"/>
  <c r="M20" i="31"/>
  <c r="I49" i="31"/>
  <c r="I43" i="31"/>
  <c r="J53" i="31"/>
  <c r="J33" i="31"/>
  <c r="K46" i="31"/>
  <c r="K43" i="31"/>
  <c r="R53" i="31"/>
  <c r="R33" i="31"/>
  <c r="C35" i="31"/>
  <c r="C7" i="31" s="1"/>
  <c r="C8" i="46" s="1"/>
  <c r="C26" i="31"/>
  <c r="C23" i="31"/>
  <c r="C20" i="31"/>
  <c r="K72" i="31"/>
  <c r="K75" i="31" s="1"/>
  <c r="K49" i="31" l="1"/>
  <c r="E56" i="31"/>
  <c r="E43" i="31" s="1"/>
  <c r="H58" i="31"/>
  <c r="H8" i="31" s="1"/>
  <c r="H9" i="46" s="1"/>
  <c r="I77" i="31"/>
  <c r="I9" i="31" s="1"/>
  <c r="I10" i="46" s="1"/>
  <c r="H46" i="31"/>
  <c r="H72" i="31"/>
  <c r="H75" i="31" s="1"/>
  <c r="H77" i="31" s="1"/>
  <c r="H9" i="31" s="1"/>
  <c r="H10" i="46" s="1"/>
  <c r="D43" i="31"/>
  <c r="C49" i="31"/>
  <c r="C46" i="31"/>
  <c r="D46" i="31"/>
  <c r="D58" i="31"/>
  <c r="D8" i="31" s="1"/>
  <c r="D9" i="46" s="1"/>
  <c r="D72" i="31"/>
  <c r="D75" i="31" s="1"/>
  <c r="D77" i="31" s="1"/>
  <c r="D9" i="31" s="1"/>
  <c r="D10" i="46" s="1"/>
  <c r="C58" i="31"/>
  <c r="C8" i="31" s="1"/>
  <c r="C9" i="46" s="1"/>
  <c r="C72" i="31"/>
  <c r="C75" i="31" s="1"/>
  <c r="C68" i="31" s="1"/>
  <c r="O46" i="31"/>
  <c r="L56" i="31"/>
  <c r="L72" i="31"/>
  <c r="K65" i="38"/>
  <c r="K68" i="38"/>
  <c r="K62" i="38"/>
  <c r="K96" i="38"/>
  <c r="K117" i="38" s="1"/>
  <c r="K138" i="38" s="1"/>
  <c r="K159" i="38" s="1"/>
  <c r="Q46" i="38"/>
  <c r="O56" i="38"/>
  <c r="O58" i="38" s="1"/>
  <c r="O8" i="38" s="1"/>
  <c r="O39" i="46" s="1"/>
  <c r="I43" i="38"/>
  <c r="Q43" i="38"/>
  <c r="Q58" i="38"/>
  <c r="Q8" i="38" s="1"/>
  <c r="Q39" i="46" s="1"/>
  <c r="Q72" i="38"/>
  <c r="K56" i="38"/>
  <c r="K58" i="38" s="1"/>
  <c r="K8" i="38" s="1"/>
  <c r="K39" i="46" s="1"/>
  <c r="D49" i="38"/>
  <c r="D43" i="38"/>
  <c r="D58" i="38"/>
  <c r="D8" i="38" s="1"/>
  <c r="D39" i="46" s="1"/>
  <c r="C56" i="38"/>
  <c r="C58" i="38" s="1"/>
  <c r="C8" i="38" s="1"/>
  <c r="C39" i="46" s="1"/>
  <c r="L72" i="38"/>
  <c r="L75" i="38" s="1"/>
  <c r="L62" i="38" s="1"/>
  <c r="R75" i="38"/>
  <c r="R62" i="38" s="1"/>
  <c r="L43" i="38"/>
  <c r="L46" i="38"/>
  <c r="R56" i="38"/>
  <c r="R58" i="38" s="1"/>
  <c r="R8" i="38" s="1"/>
  <c r="R39" i="46" s="1"/>
  <c r="N56" i="38"/>
  <c r="N72" i="38"/>
  <c r="F72" i="38"/>
  <c r="F56" i="38"/>
  <c r="J58" i="38"/>
  <c r="J8" i="38" s="1"/>
  <c r="J39" i="46" s="1"/>
  <c r="E72" i="38"/>
  <c r="E56" i="38"/>
  <c r="L58" i="38"/>
  <c r="L8" i="38" s="1"/>
  <c r="L39" i="46" s="1"/>
  <c r="I49" i="38"/>
  <c r="J46" i="38"/>
  <c r="J72" i="38"/>
  <c r="J96" i="38" s="1"/>
  <c r="J117" i="38" s="1"/>
  <c r="J120" i="38" s="1"/>
  <c r="J110" i="38" s="1"/>
  <c r="M44" i="38"/>
  <c r="M50" i="38"/>
  <c r="M53" i="38" s="1"/>
  <c r="I72" i="38"/>
  <c r="I96" i="38" s="1"/>
  <c r="I46" i="38"/>
  <c r="D46" i="38"/>
  <c r="G72" i="38"/>
  <c r="G56" i="38"/>
  <c r="D72" i="38"/>
  <c r="D75" i="38" s="1"/>
  <c r="D77" i="38" s="1"/>
  <c r="D9" i="38" s="1"/>
  <c r="D40" i="46" s="1"/>
  <c r="J43" i="38"/>
  <c r="P44" i="38"/>
  <c r="P50" i="38"/>
  <c r="P53" i="38" s="1"/>
  <c r="H44" i="38"/>
  <c r="H50" i="38"/>
  <c r="H53" i="38" s="1"/>
  <c r="F23" i="31"/>
  <c r="F20" i="31"/>
  <c r="C75" i="38"/>
  <c r="C96" i="38"/>
  <c r="R99" i="38"/>
  <c r="R117" i="38"/>
  <c r="D35" i="38"/>
  <c r="D7" i="38" s="1"/>
  <c r="D38" i="46" s="1"/>
  <c r="D23" i="38"/>
  <c r="D26" i="38"/>
  <c r="D20" i="38"/>
  <c r="O75" i="38"/>
  <c r="O96" i="38"/>
  <c r="I68" i="31"/>
  <c r="I65" i="31"/>
  <c r="I96" i="31"/>
  <c r="I99" i="31" s="1"/>
  <c r="I101" i="31" s="1"/>
  <c r="I10" i="31" s="1"/>
  <c r="I11" i="46" s="1"/>
  <c r="G49" i="31"/>
  <c r="P72" i="31"/>
  <c r="P75" i="31" s="1"/>
  <c r="G72" i="31"/>
  <c r="G75" i="31" s="1"/>
  <c r="O72" i="31"/>
  <c r="O96" i="31" s="1"/>
  <c r="K96" i="31"/>
  <c r="K99" i="31" s="1"/>
  <c r="K86" i="31" s="1"/>
  <c r="P46" i="31"/>
  <c r="Q26" i="31"/>
  <c r="Q23" i="31"/>
  <c r="Q20" i="31"/>
  <c r="Q35" i="31"/>
  <c r="Q7" i="31" s="1"/>
  <c r="Q8" i="46" s="1"/>
  <c r="K77" i="31"/>
  <c r="K9" i="31" s="1"/>
  <c r="K10" i="46" s="1"/>
  <c r="K68" i="31"/>
  <c r="K65" i="31"/>
  <c r="K62" i="31"/>
  <c r="P49" i="31"/>
  <c r="M96" i="31"/>
  <c r="P43" i="31"/>
  <c r="F26" i="31"/>
  <c r="I26" i="31"/>
  <c r="I20" i="31"/>
  <c r="I35" i="31"/>
  <c r="I7" i="31" s="1"/>
  <c r="I8" i="46" s="1"/>
  <c r="I23" i="31"/>
  <c r="N26" i="31"/>
  <c r="N23" i="31"/>
  <c r="N35" i="31"/>
  <c r="N7" i="31" s="1"/>
  <c r="N8" i="46" s="1"/>
  <c r="N20" i="31"/>
  <c r="G58" i="31"/>
  <c r="G8" i="31" s="1"/>
  <c r="G9" i="46" s="1"/>
  <c r="G43" i="31"/>
  <c r="M43" i="31"/>
  <c r="M58" i="31"/>
  <c r="M8" i="31" s="1"/>
  <c r="M9" i="46" s="1"/>
  <c r="M46" i="31"/>
  <c r="M49" i="31"/>
  <c r="J56" i="31"/>
  <c r="J72" i="31"/>
  <c r="E58" i="31"/>
  <c r="E8" i="31" s="1"/>
  <c r="E9" i="46" s="1"/>
  <c r="E49" i="31"/>
  <c r="Q72" i="31"/>
  <c r="Q56" i="31"/>
  <c r="O35" i="31"/>
  <c r="O7" i="31" s="1"/>
  <c r="O8" i="46" s="1"/>
  <c r="O20" i="31"/>
  <c r="O26" i="31"/>
  <c r="O23" i="31"/>
  <c r="J20" i="31"/>
  <c r="J35" i="31"/>
  <c r="J7" i="31" s="1"/>
  <c r="J8" i="46" s="1"/>
  <c r="J23" i="31"/>
  <c r="J26" i="31"/>
  <c r="R26" i="31"/>
  <c r="R23" i="31"/>
  <c r="R35" i="31"/>
  <c r="R7" i="31" s="1"/>
  <c r="R8" i="46" s="1"/>
  <c r="R20" i="31"/>
  <c r="R72" i="31"/>
  <c r="R56" i="31"/>
  <c r="E75" i="31"/>
  <c r="E96" i="31"/>
  <c r="P35" i="31"/>
  <c r="P7" i="31" s="1"/>
  <c r="P8" i="46" s="1"/>
  <c r="P26" i="31"/>
  <c r="P20" i="31"/>
  <c r="P23" i="31"/>
  <c r="O58" i="31"/>
  <c r="O8" i="31" s="1"/>
  <c r="O9" i="46" s="1"/>
  <c r="O43" i="31"/>
  <c r="N72" i="31"/>
  <c r="N56" i="31"/>
  <c r="F72" i="31"/>
  <c r="F56" i="31"/>
  <c r="M62" i="31"/>
  <c r="M77" i="31"/>
  <c r="M9" i="31" s="1"/>
  <c r="M10" i="46" s="1"/>
  <c r="M65" i="31"/>
  <c r="Q96" i="38" l="1"/>
  <c r="Q99" i="38" s="1"/>
  <c r="Q75" i="38"/>
  <c r="Q62" i="38" s="1"/>
  <c r="E46" i="31"/>
  <c r="H96" i="31"/>
  <c r="K49" i="38"/>
  <c r="H65" i="31"/>
  <c r="K46" i="38"/>
  <c r="C77" i="31"/>
  <c r="C9" i="31" s="1"/>
  <c r="C10" i="46" s="1"/>
  <c r="U44" i="38"/>
  <c r="X14" i="38" s="1"/>
  <c r="X15" i="38" s="1"/>
  <c r="G34" i="46" s="1"/>
  <c r="H68" i="31"/>
  <c r="H62" i="31"/>
  <c r="D68" i="31"/>
  <c r="D65" i="31"/>
  <c r="D96" i="31"/>
  <c r="D117" i="31" s="1"/>
  <c r="D62" i="31"/>
  <c r="C96" i="31"/>
  <c r="C99" i="31" s="1"/>
  <c r="C101" i="31" s="1"/>
  <c r="C10" i="31" s="1"/>
  <c r="C11" i="46" s="1"/>
  <c r="C62" i="31"/>
  <c r="C65" i="31"/>
  <c r="L75" i="31"/>
  <c r="L96" i="31"/>
  <c r="L43" i="31"/>
  <c r="L46" i="31"/>
  <c r="L58" i="31"/>
  <c r="L8" i="31" s="1"/>
  <c r="L9" i="46" s="1"/>
  <c r="L49" i="31"/>
  <c r="P96" i="31"/>
  <c r="P99" i="31" s="1"/>
  <c r="O43" i="38"/>
  <c r="I89" i="31"/>
  <c r="I117" i="31"/>
  <c r="I120" i="31" s="1"/>
  <c r="I86" i="31"/>
  <c r="O46" i="38"/>
  <c r="O49" i="38"/>
  <c r="R43" i="38"/>
  <c r="L96" i="38"/>
  <c r="L117" i="38" s="1"/>
  <c r="L138" i="38" s="1"/>
  <c r="L65" i="38"/>
  <c r="K141" i="38"/>
  <c r="K134" i="38" s="1"/>
  <c r="K99" i="38"/>
  <c r="K86" i="38" s="1"/>
  <c r="K43" i="38"/>
  <c r="K120" i="38"/>
  <c r="K122" i="38" s="1"/>
  <c r="K11" i="38" s="1"/>
  <c r="K42" i="46" s="1"/>
  <c r="J122" i="38"/>
  <c r="J11" i="38" s="1"/>
  <c r="J42" i="46" s="1"/>
  <c r="J99" i="38"/>
  <c r="J86" i="38" s="1"/>
  <c r="R46" i="38"/>
  <c r="R77" i="38"/>
  <c r="R9" i="38" s="1"/>
  <c r="R40" i="46" s="1"/>
  <c r="R68" i="38"/>
  <c r="R65" i="38"/>
  <c r="R49" i="38"/>
  <c r="L68" i="38"/>
  <c r="L77" i="38"/>
  <c r="L9" i="38" s="1"/>
  <c r="L40" i="46" s="1"/>
  <c r="J113" i="38"/>
  <c r="I75" i="38"/>
  <c r="I65" i="38" s="1"/>
  <c r="C43" i="38"/>
  <c r="C49" i="38"/>
  <c r="C46" i="38"/>
  <c r="D65" i="38"/>
  <c r="H72" i="38"/>
  <c r="H56" i="38"/>
  <c r="J138" i="38"/>
  <c r="J159" i="38" s="1"/>
  <c r="J178" i="38" s="1"/>
  <c r="J181" i="38" s="1"/>
  <c r="D96" i="38"/>
  <c r="D99" i="38" s="1"/>
  <c r="D89" i="38" s="1"/>
  <c r="E49" i="38"/>
  <c r="E46" i="38"/>
  <c r="E43" i="38"/>
  <c r="E58" i="38"/>
  <c r="E8" i="38" s="1"/>
  <c r="E39" i="46" s="1"/>
  <c r="J107" i="38"/>
  <c r="D68" i="38"/>
  <c r="P72" i="38"/>
  <c r="P56" i="38"/>
  <c r="E75" i="38"/>
  <c r="E96" i="38"/>
  <c r="D62" i="38"/>
  <c r="M56" i="38"/>
  <c r="M72" i="38"/>
  <c r="F75" i="38"/>
  <c r="F96" i="38"/>
  <c r="F58" i="38"/>
  <c r="F8" i="38" s="1"/>
  <c r="F39" i="46" s="1"/>
  <c r="F46" i="38"/>
  <c r="F49" i="38"/>
  <c r="F43" i="38"/>
  <c r="J75" i="38"/>
  <c r="J65" i="38" s="1"/>
  <c r="G46" i="38"/>
  <c r="G43" i="38"/>
  <c r="G49" i="38"/>
  <c r="G58" i="38"/>
  <c r="G8" i="38" s="1"/>
  <c r="G39" i="46" s="1"/>
  <c r="N75" i="38"/>
  <c r="N96" i="38"/>
  <c r="G96" i="38"/>
  <c r="G75" i="38"/>
  <c r="N46" i="38"/>
  <c r="N49" i="38"/>
  <c r="N43" i="38"/>
  <c r="N58" i="38"/>
  <c r="N8" i="38" s="1"/>
  <c r="N39" i="46" s="1"/>
  <c r="R120" i="38"/>
  <c r="R138" i="38"/>
  <c r="C117" i="38"/>
  <c r="C99" i="38"/>
  <c r="Q65" i="38"/>
  <c r="Q68" i="38"/>
  <c r="R101" i="38"/>
  <c r="R10" i="38" s="1"/>
  <c r="R41" i="46" s="1"/>
  <c r="R86" i="38"/>
  <c r="R92" i="38"/>
  <c r="R89" i="38"/>
  <c r="C77" i="38"/>
  <c r="C9" i="38" s="1"/>
  <c r="C40" i="46" s="1"/>
  <c r="C62" i="38"/>
  <c r="C65" i="38"/>
  <c r="C68" i="38"/>
  <c r="O99" i="38"/>
  <c r="O117" i="38"/>
  <c r="K178" i="38"/>
  <c r="K181" i="38" s="1"/>
  <c r="K162" i="38"/>
  <c r="I99" i="38"/>
  <c r="I117" i="38"/>
  <c r="O77" i="38"/>
  <c r="O9" i="38" s="1"/>
  <c r="O40" i="46" s="1"/>
  <c r="O65" i="38"/>
  <c r="O62" i="38"/>
  <c r="O68" i="38"/>
  <c r="O75" i="31"/>
  <c r="O68" i="31" s="1"/>
  <c r="I92" i="31"/>
  <c r="K89" i="31"/>
  <c r="K117" i="31"/>
  <c r="K120" i="31" s="1"/>
  <c r="K92" i="31"/>
  <c r="K101" i="31"/>
  <c r="K10" i="31" s="1"/>
  <c r="K11" i="46" s="1"/>
  <c r="G96" i="31"/>
  <c r="G99" i="31" s="1"/>
  <c r="H99" i="31"/>
  <c r="H117" i="31"/>
  <c r="N75" i="31"/>
  <c r="N96" i="31"/>
  <c r="J96" i="31"/>
  <c r="J75" i="31"/>
  <c r="E65" i="31"/>
  <c r="E77" i="31"/>
  <c r="E9" i="31" s="1"/>
  <c r="E10" i="46" s="1"/>
  <c r="E62" i="31"/>
  <c r="E68" i="31"/>
  <c r="R96" i="31"/>
  <c r="R75" i="31"/>
  <c r="F49" i="31"/>
  <c r="F58" i="31"/>
  <c r="F8" i="31" s="1"/>
  <c r="F9" i="46" s="1"/>
  <c r="F46" i="31"/>
  <c r="F43" i="31"/>
  <c r="M99" i="31"/>
  <c r="M117" i="31"/>
  <c r="F75" i="31"/>
  <c r="F96" i="31"/>
  <c r="G62" i="31"/>
  <c r="G65" i="31"/>
  <c r="G68" i="31"/>
  <c r="G77" i="31"/>
  <c r="G9" i="31" s="1"/>
  <c r="G10" i="46" s="1"/>
  <c r="O99" i="31"/>
  <c r="O117" i="31"/>
  <c r="P62" i="31"/>
  <c r="P77" i="31"/>
  <c r="P9" i="31" s="1"/>
  <c r="P10" i="46" s="1"/>
  <c r="P68" i="31"/>
  <c r="P65" i="31"/>
  <c r="E99" i="31"/>
  <c r="E117" i="31"/>
  <c r="Q58" i="31"/>
  <c r="Q8" i="31" s="1"/>
  <c r="Q9" i="46" s="1"/>
  <c r="Q46" i="31"/>
  <c r="Q49" i="31"/>
  <c r="Q43" i="31"/>
  <c r="R58" i="31"/>
  <c r="R8" i="31" s="1"/>
  <c r="R9" i="46" s="1"/>
  <c r="R49" i="31"/>
  <c r="R43" i="31"/>
  <c r="R46" i="31"/>
  <c r="J58" i="31"/>
  <c r="J8" i="31" s="1"/>
  <c r="J9" i="46" s="1"/>
  <c r="J46" i="31"/>
  <c r="J43" i="31"/>
  <c r="J49" i="31"/>
  <c r="N58" i="31"/>
  <c r="N8" i="31" s="1"/>
  <c r="N9" i="46" s="1"/>
  <c r="N46" i="31"/>
  <c r="N43" i="31"/>
  <c r="N49" i="31"/>
  <c r="Q75" i="31"/>
  <c r="Q96" i="31"/>
  <c r="Q77" i="38" l="1"/>
  <c r="Q9" i="38" s="1"/>
  <c r="Q40" i="46" s="1"/>
  <c r="D99" i="31"/>
  <c r="D101" i="31" s="1"/>
  <c r="D10" i="31" s="1"/>
  <c r="D11" i="46" s="1"/>
  <c r="C117" i="31"/>
  <c r="C120" i="31" s="1"/>
  <c r="C113" i="31" s="1"/>
  <c r="C86" i="31"/>
  <c r="C92" i="31"/>
  <c r="C89" i="31"/>
  <c r="Q117" i="38"/>
  <c r="Q138" i="38" s="1"/>
  <c r="L99" i="31"/>
  <c r="L117" i="31"/>
  <c r="L77" i="31"/>
  <c r="L9" i="31" s="1"/>
  <c r="L10" i="46" s="1"/>
  <c r="L68" i="31"/>
  <c r="L62" i="31"/>
  <c r="L65" i="31"/>
  <c r="I77" i="38"/>
  <c r="I9" i="38" s="1"/>
  <c r="I40" i="46" s="1"/>
  <c r="K143" i="38"/>
  <c r="K12" i="38" s="1"/>
  <c r="K43" i="46" s="1"/>
  <c r="P117" i="31"/>
  <c r="P138" i="31" s="1"/>
  <c r="D117" i="38"/>
  <c r="D120" i="38" s="1"/>
  <c r="D122" i="38" s="1"/>
  <c r="D11" i="38" s="1"/>
  <c r="D42" i="46" s="1"/>
  <c r="K138" i="31"/>
  <c r="K141" i="31" s="1"/>
  <c r="I138" i="31"/>
  <c r="I141" i="31" s="1"/>
  <c r="O65" i="31"/>
  <c r="O77" i="31"/>
  <c r="O9" i="31" s="1"/>
  <c r="O10" i="46" s="1"/>
  <c r="O62" i="31"/>
  <c r="L120" i="38"/>
  <c r="L122" i="38" s="1"/>
  <c r="L11" i="38" s="1"/>
  <c r="L42" i="46" s="1"/>
  <c r="I62" i="38"/>
  <c r="I68" i="38"/>
  <c r="D101" i="38"/>
  <c r="D10" i="38" s="1"/>
  <c r="D41" i="46" s="1"/>
  <c r="L99" i="38"/>
  <c r="L86" i="38" s="1"/>
  <c r="K110" i="38"/>
  <c r="K101" i="38"/>
  <c r="K10" i="38" s="1"/>
  <c r="K41" i="46" s="1"/>
  <c r="K128" i="38"/>
  <c r="K107" i="38"/>
  <c r="J89" i="38"/>
  <c r="J101" i="38"/>
  <c r="J10" i="38" s="1"/>
  <c r="J41" i="46" s="1"/>
  <c r="J92" i="38"/>
  <c r="K113" i="38"/>
  <c r="K131" i="38"/>
  <c r="K89" i="38"/>
  <c r="K92" i="38"/>
  <c r="J68" i="38"/>
  <c r="D92" i="38"/>
  <c r="D86" i="38"/>
  <c r="J62" i="38"/>
  <c r="J77" i="38"/>
  <c r="J9" i="38" s="1"/>
  <c r="J40" i="46" s="1"/>
  <c r="G117" i="38"/>
  <c r="G99" i="38"/>
  <c r="N117" i="38"/>
  <c r="N99" i="38"/>
  <c r="E99" i="38"/>
  <c r="E117" i="38"/>
  <c r="N62" i="38"/>
  <c r="N77" i="38"/>
  <c r="N9" i="38" s="1"/>
  <c r="N40" i="46" s="1"/>
  <c r="N65" i="38"/>
  <c r="N68" i="38"/>
  <c r="E65" i="38"/>
  <c r="E68" i="38"/>
  <c r="E77" i="38"/>
  <c r="E9" i="38" s="1"/>
  <c r="E40" i="46" s="1"/>
  <c r="E62" i="38"/>
  <c r="P58" i="38"/>
  <c r="P8" i="38" s="1"/>
  <c r="P39" i="46" s="1"/>
  <c r="P46" i="38"/>
  <c r="P43" i="38"/>
  <c r="P49" i="38"/>
  <c r="F117" i="38"/>
  <c r="F99" i="38"/>
  <c r="J162" i="38"/>
  <c r="J164" i="38" s="1"/>
  <c r="J13" i="38" s="1"/>
  <c r="J44" i="46" s="1"/>
  <c r="F62" i="38"/>
  <c r="F65" i="38"/>
  <c r="F77" i="38"/>
  <c r="F9" i="38" s="1"/>
  <c r="F40" i="46" s="1"/>
  <c r="F68" i="38"/>
  <c r="H46" i="38"/>
  <c r="H43" i="38"/>
  <c r="H58" i="38"/>
  <c r="H8" i="38" s="1"/>
  <c r="H39" i="46" s="1"/>
  <c r="H49" i="38"/>
  <c r="P96" i="38"/>
  <c r="P75" i="38"/>
  <c r="J141" i="38"/>
  <c r="J134" i="38" s="1"/>
  <c r="M75" i="38"/>
  <c r="M96" i="38"/>
  <c r="H96" i="38"/>
  <c r="H75" i="38"/>
  <c r="G77" i="38"/>
  <c r="G9" i="38" s="1"/>
  <c r="G40" i="46" s="1"/>
  <c r="G62" i="38"/>
  <c r="G68" i="38"/>
  <c r="G65" i="38"/>
  <c r="M43" i="38"/>
  <c r="M58" i="38"/>
  <c r="M8" i="38" s="1"/>
  <c r="M39" i="46" s="1"/>
  <c r="M49" i="38"/>
  <c r="M46" i="38"/>
  <c r="C138" i="31"/>
  <c r="C159" i="31" s="1"/>
  <c r="I120" i="38"/>
  <c r="I138" i="38"/>
  <c r="I101" i="38"/>
  <c r="I10" i="38" s="1"/>
  <c r="I41" i="46" s="1"/>
  <c r="I86" i="38"/>
  <c r="I89" i="38"/>
  <c r="I92" i="38"/>
  <c r="O120" i="38"/>
  <c r="O138" i="38"/>
  <c r="K183" i="38"/>
  <c r="K14" i="38" s="1"/>
  <c r="K45" i="46" s="1"/>
  <c r="K171" i="38"/>
  <c r="K168" i="38"/>
  <c r="K174" i="38"/>
  <c r="O101" i="38"/>
  <c r="O10" i="38" s="1"/>
  <c r="O41" i="46" s="1"/>
  <c r="O92" i="38"/>
  <c r="O89" i="38"/>
  <c r="O86" i="38"/>
  <c r="C89" i="38"/>
  <c r="C92" i="38"/>
  <c r="C86" i="38"/>
  <c r="C101" i="38"/>
  <c r="C10" i="38" s="1"/>
  <c r="C41" i="46" s="1"/>
  <c r="Q101" i="38"/>
  <c r="Q10" i="38" s="1"/>
  <c r="Q41" i="46" s="1"/>
  <c r="Q86" i="38"/>
  <c r="Q89" i="38"/>
  <c r="Q92" i="38"/>
  <c r="C120" i="38"/>
  <c r="C138" i="38"/>
  <c r="R141" i="38"/>
  <c r="R159" i="38"/>
  <c r="J174" i="38"/>
  <c r="J183" i="38"/>
  <c r="J14" i="38" s="1"/>
  <c r="J45" i="46" s="1"/>
  <c r="J171" i="38"/>
  <c r="J168" i="38"/>
  <c r="L159" i="38"/>
  <c r="L141" i="38"/>
  <c r="K164" i="38"/>
  <c r="K13" i="38" s="1"/>
  <c r="K44" i="46" s="1"/>
  <c r="K155" i="38"/>
  <c r="K149" i="38"/>
  <c r="K152" i="38"/>
  <c r="R113" i="38"/>
  <c r="R122" i="38"/>
  <c r="R11" i="38" s="1"/>
  <c r="R42" i="46" s="1"/>
  <c r="R110" i="38"/>
  <c r="R107" i="38"/>
  <c r="G117" i="31"/>
  <c r="G138" i="31" s="1"/>
  <c r="H120" i="31"/>
  <c r="H138" i="31"/>
  <c r="D89" i="31"/>
  <c r="D86" i="31"/>
  <c r="H92" i="31"/>
  <c r="H101" i="31"/>
  <c r="H10" i="31" s="1"/>
  <c r="H11" i="46" s="1"/>
  <c r="H86" i="31"/>
  <c r="H89" i="31"/>
  <c r="D120" i="31"/>
  <c r="D138" i="31"/>
  <c r="E120" i="31"/>
  <c r="E138" i="31"/>
  <c r="J68" i="31"/>
  <c r="J77" i="31"/>
  <c r="J9" i="31" s="1"/>
  <c r="J10" i="46" s="1"/>
  <c r="J65" i="31"/>
  <c r="J62" i="31"/>
  <c r="K122" i="31"/>
  <c r="K11" i="31" s="1"/>
  <c r="K12" i="46" s="1"/>
  <c r="K113" i="31"/>
  <c r="K110" i="31"/>
  <c r="K107" i="31"/>
  <c r="E101" i="31"/>
  <c r="E10" i="31" s="1"/>
  <c r="E11" i="46" s="1"/>
  <c r="E89" i="31"/>
  <c r="E92" i="31"/>
  <c r="E86" i="31"/>
  <c r="O101" i="31"/>
  <c r="O10" i="31" s="1"/>
  <c r="O11" i="46" s="1"/>
  <c r="O86" i="31"/>
  <c r="O92" i="31"/>
  <c r="O89" i="31"/>
  <c r="C122" i="31"/>
  <c r="C11" i="31" s="1"/>
  <c r="C12" i="46" s="1"/>
  <c r="C107" i="31"/>
  <c r="J99" i="31"/>
  <c r="J117" i="31"/>
  <c r="M120" i="31"/>
  <c r="M138" i="31"/>
  <c r="R77" i="31"/>
  <c r="R9" i="31" s="1"/>
  <c r="R10" i="46" s="1"/>
  <c r="R65" i="31"/>
  <c r="R62" i="31"/>
  <c r="R68" i="31"/>
  <c r="I122" i="31"/>
  <c r="I11" i="31" s="1"/>
  <c r="I12" i="46" s="1"/>
  <c r="I110" i="31"/>
  <c r="I113" i="31"/>
  <c r="I107" i="31"/>
  <c r="M101" i="31"/>
  <c r="M10" i="31" s="1"/>
  <c r="M11" i="46" s="1"/>
  <c r="M89" i="31"/>
  <c r="M86" i="31"/>
  <c r="M92" i="31"/>
  <c r="R99" i="31"/>
  <c r="R117" i="31"/>
  <c r="N99" i="31"/>
  <c r="N117" i="31"/>
  <c r="O120" i="31"/>
  <c r="O138" i="31"/>
  <c r="G101" i="31"/>
  <c r="G10" i="31" s="1"/>
  <c r="G11" i="46" s="1"/>
  <c r="G86" i="31"/>
  <c r="G92" i="31"/>
  <c r="G89" i="31"/>
  <c r="N62" i="31"/>
  <c r="N65" i="31"/>
  <c r="N77" i="31"/>
  <c r="N9" i="31" s="1"/>
  <c r="N10" i="46" s="1"/>
  <c r="N68" i="31"/>
  <c r="Q99" i="31"/>
  <c r="Q117" i="31"/>
  <c r="F99" i="31"/>
  <c r="F117" i="31"/>
  <c r="Q77" i="31"/>
  <c r="Q9" i="31" s="1"/>
  <c r="Q10" i="46" s="1"/>
  <c r="Q65" i="31"/>
  <c r="Q62" i="31"/>
  <c r="Q68" i="31"/>
  <c r="F65" i="31"/>
  <c r="F77" i="31"/>
  <c r="F9" i="31" s="1"/>
  <c r="F10" i="46" s="1"/>
  <c r="F68" i="31"/>
  <c r="F62" i="31"/>
  <c r="P101" i="31"/>
  <c r="P10" i="31" s="1"/>
  <c r="P11" i="46" s="1"/>
  <c r="P86" i="31"/>
  <c r="P89" i="31"/>
  <c r="P92" i="31"/>
  <c r="C110" i="31" l="1"/>
  <c r="Q120" i="38"/>
  <c r="Q113" i="38" s="1"/>
  <c r="D92" i="31"/>
  <c r="P120" i="31"/>
  <c r="L138" i="31"/>
  <c r="L120" i="31"/>
  <c r="L86" i="31"/>
  <c r="L89" i="31"/>
  <c r="L101" i="31"/>
  <c r="L10" i="31" s="1"/>
  <c r="L11" i="46" s="1"/>
  <c r="L92" i="31"/>
  <c r="D107" i="38"/>
  <c r="D138" i="38"/>
  <c r="D141" i="38" s="1"/>
  <c r="D143" i="38" s="1"/>
  <c r="D12" i="38" s="1"/>
  <c r="D43" i="46" s="1"/>
  <c r="D110" i="38"/>
  <c r="L92" i="38"/>
  <c r="L89" i="38"/>
  <c r="K159" i="31"/>
  <c r="K162" i="31" s="1"/>
  <c r="D113" i="38"/>
  <c r="L101" i="38"/>
  <c r="L10" i="38" s="1"/>
  <c r="L41" i="46" s="1"/>
  <c r="I159" i="31"/>
  <c r="I162" i="31" s="1"/>
  <c r="C141" i="31"/>
  <c r="C143" i="31" s="1"/>
  <c r="C12" i="31" s="1"/>
  <c r="C13" i="46" s="1"/>
  <c r="L110" i="38"/>
  <c r="L107" i="38"/>
  <c r="L113" i="38"/>
  <c r="J155" i="38"/>
  <c r="J152" i="38"/>
  <c r="J149" i="38"/>
  <c r="P117" i="38"/>
  <c r="P99" i="38"/>
  <c r="E138" i="38"/>
  <c r="E120" i="38"/>
  <c r="H68" i="38"/>
  <c r="H77" i="38"/>
  <c r="H9" i="38" s="1"/>
  <c r="H40" i="46" s="1"/>
  <c r="H62" i="38"/>
  <c r="H65" i="38"/>
  <c r="F101" i="38"/>
  <c r="F10" i="38" s="1"/>
  <c r="F41" i="46" s="1"/>
  <c r="F92" i="38"/>
  <c r="F86" i="38"/>
  <c r="F89" i="38"/>
  <c r="E101" i="38"/>
  <c r="E10" i="38" s="1"/>
  <c r="E41" i="46" s="1"/>
  <c r="E89" i="38"/>
  <c r="E86" i="38"/>
  <c r="E92" i="38"/>
  <c r="J131" i="38"/>
  <c r="H99" i="38"/>
  <c r="H117" i="38"/>
  <c r="F120" i="38"/>
  <c r="F138" i="38"/>
  <c r="N101" i="38"/>
  <c r="N10" i="38" s="1"/>
  <c r="N41" i="46" s="1"/>
  <c r="N86" i="38"/>
  <c r="N92" i="38"/>
  <c r="N89" i="38"/>
  <c r="J143" i="38"/>
  <c r="J12" i="38" s="1"/>
  <c r="J43" i="46" s="1"/>
  <c r="M99" i="38"/>
  <c r="M117" i="38"/>
  <c r="N120" i="38"/>
  <c r="N138" i="38"/>
  <c r="J128" i="38"/>
  <c r="M77" i="38"/>
  <c r="M9" i="38" s="1"/>
  <c r="M40" i="46" s="1"/>
  <c r="M65" i="38"/>
  <c r="M62" i="38"/>
  <c r="M68" i="38"/>
  <c r="G89" i="38"/>
  <c r="G92" i="38"/>
  <c r="G101" i="38"/>
  <c r="G10" i="38" s="1"/>
  <c r="G41" i="46" s="1"/>
  <c r="G86" i="38"/>
  <c r="P68" i="38"/>
  <c r="P62" i="38"/>
  <c r="P65" i="38"/>
  <c r="P77" i="38"/>
  <c r="P9" i="38" s="1"/>
  <c r="P40" i="46" s="1"/>
  <c r="G120" i="38"/>
  <c r="G138" i="38"/>
  <c r="G120" i="31"/>
  <c r="G110" i="31" s="1"/>
  <c r="L143" i="38"/>
  <c r="L12" i="38" s="1"/>
  <c r="L43" i="46" s="1"/>
  <c r="L134" i="38"/>
  <c r="L128" i="38"/>
  <c r="L131" i="38"/>
  <c r="I159" i="38"/>
  <c r="I141" i="38"/>
  <c r="R134" i="38"/>
  <c r="R143" i="38"/>
  <c r="R12" i="38" s="1"/>
  <c r="R43" i="46" s="1"/>
  <c r="R128" i="38"/>
  <c r="R131" i="38"/>
  <c r="C122" i="38"/>
  <c r="C11" i="38" s="1"/>
  <c r="C42" i="46" s="1"/>
  <c r="C110" i="38"/>
  <c r="C107" i="38"/>
  <c r="C113" i="38"/>
  <c r="Q159" i="38"/>
  <c r="Q141" i="38"/>
  <c r="I122" i="38"/>
  <c r="I11" i="38" s="1"/>
  <c r="I42" i="46" s="1"/>
  <c r="I110" i="38"/>
  <c r="I107" i="38"/>
  <c r="I113" i="38"/>
  <c r="R178" i="38"/>
  <c r="R181" i="38" s="1"/>
  <c r="R162" i="38"/>
  <c r="L162" i="38"/>
  <c r="L178" i="38"/>
  <c r="L181" i="38" s="1"/>
  <c r="C159" i="38"/>
  <c r="C141" i="38"/>
  <c r="O159" i="38"/>
  <c r="O141" i="38"/>
  <c r="O122" i="38"/>
  <c r="O11" i="38" s="1"/>
  <c r="O42" i="46" s="1"/>
  <c r="O110" i="38"/>
  <c r="O107" i="38"/>
  <c r="O113" i="38"/>
  <c r="H110" i="31"/>
  <c r="H122" i="31"/>
  <c r="H11" i="31" s="1"/>
  <c r="H12" i="46" s="1"/>
  <c r="H113" i="31"/>
  <c r="H107" i="31"/>
  <c r="H141" i="31"/>
  <c r="H159" i="31"/>
  <c r="D159" i="31"/>
  <c r="D141" i="31"/>
  <c r="D122" i="31"/>
  <c r="D11" i="31" s="1"/>
  <c r="D12" i="46" s="1"/>
  <c r="D107" i="31"/>
  <c r="D110" i="31"/>
  <c r="D113" i="31"/>
  <c r="O141" i="31"/>
  <c r="O159" i="31"/>
  <c r="F101" i="31"/>
  <c r="F10" i="31" s="1"/>
  <c r="F11" i="46" s="1"/>
  <c r="F89" i="31"/>
  <c r="F92" i="31"/>
  <c r="F86" i="31"/>
  <c r="O122" i="31"/>
  <c r="O11" i="31" s="1"/>
  <c r="O12" i="46" s="1"/>
  <c r="O110" i="31"/>
  <c r="O113" i="31"/>
  <c r="O107" i="31"/>
  <c r="N120" i="31"/>
  <c r="N138" i="31"/>
  <c r="R120" i="31"/>
  <c r="R138" i="31"/>
  <c r="M141" i="31"/>
  <c r="M159" i="31"/>
  <c r="N101" i="31"/>
  <c r="N10" i="31" s="1"/>
  <c r="N11" i="46" s="1"/>
  <c r="N89" i="31"/>
  <c r="N86" i="31"/>
  <c r="N92" i="31"/>
  <c r="R101" i="31"/>
  <c r="R10" i="31" s="1"/>
  <c r="R11" i="46" s="1"/>
  <c r="R86" i="31"/>
  <c r="R89" i="31"/>
  <c r="R92" i="31"/>
  <c r="M122" i="31"/>
  <c r="M11" i="31" s="1"/>
  <c r="M12" i="46" s="1"/>
  <c r="M107" i="31"/>
  <c r="M113" i="31"/>
  <c r="M110" i="31"/>
  <c r="Q120" i="31"/>
  <c r="Q138" i="31"/>
  <c r="C162" i="31"/>
  <c r="C178" i="31"/>
  <c r="C181" i="31" s="1"/>
  <c r="Q101" i="31"/>
  <c r="Q10" i="31" s="1"/>
  <c r="Q11" i="46" s="1"/>
  <c r="Q86" i="31"/>
  <c r="Q92" i="31"/>
  <c r="Q89" i="31"/>
  <c r="G141" i="31"/>
  <c r="G159" i="31"/>
  <c r="I143" i="31"/>
  <c r="I12" i="31" s="1"/>
  <c r="I13" i="46" s="1"/>
  <c r="I134" i="31"/>
  <c r="I131" i="31"/>
  <c r="I128" i="31"/>
  <c r="F120" i="31"/>
  <c r="F138" i="31"/>
  <c r="P141" i="31"/>
  <c r="P159" i="31"/>
  <c r="J120" i="31"/>
  <c r="J138" i="31"/>
  <c r="E159" i="31"/>
  <c r="E141" i="31"/>
  <c r="P122" i="31"/>
  <c r="P11" i="31" s="1"/>
  <c r="P12" i="46" s="1"/>
  <c r="P113" i="31"/>
  <c r="P110" i="31"/>
  <c r="P107" i="31"/>
  <c r="K143" i="31"/>
  <c r="K12" i="31" s="1"/>
  <c r="K13" i="46" s="1"/>
  <c r="K134" i="31"/>
  <c r="K131" i="31"/>
  <c r="K128" i="31"/>
  <c r="J89" i="31"/>
  <c r="J101" i="31"/>
  <c r="J10" i="31" s="1"/>
  <c r="J11" i="46" s="1"/>
  <c r="J92" i="31"/>
  <c r="J86" i="31"/>
  <c r="E122" i="31"/>
  <c r="E11" i="31" s="1"/>
  <c r="E12" i="46" s="1"/>
  <c r="E107" i="31"/>
  <c r="E113" i="31"/>
  <c r="E110" i="31"/>
  <c r="Q107" i="38" l="1"/>
  <c r="Q110" i="38"/>
  <c r="Q122" i="38"/>
  <c r="Q11" i="38" s="1"/>
  <c r="Q42" i="46" s="1"/>
  <c r="L113" i="31"/>
  <c r="L110" i="31"/>
  <c r="L122" i="31"/>
  <c r="L11" i="31" s="1"/>
  <c r="L12" i="46" s="1"/>
  <c r="L107" i="31"/>
  <c r="L141" i="31"/>
  <c r="L159" i="31"/>
  <c r="D159" i="38"/>
  <c r="D162" i="38" s="1"/>
  <c r="D164" i="38" s="1"/>
  <c r="D13" i="38" s="1"/>
  <c r="D44" i="46" s="1"/>
  <c r="D128" i="38"/>
  <c r="D134" i="38"/>
  <c r="D131" i="38"/>
  <c r="I178" i="31"/>
  <c r="I181" i="31" s="1"/>
  <c r="I171" i="31" s="1"/>
  <c r="K178" i="31"/>
  <c r="K181" i="31" s="1"/>
  <c r="K183" i="31" s="1"/>
  <c r="K14" i="31" s="1"/>
  <c r="K15" i="46" s="1"/>
  <c r="C128" i="31"/>
  <c r="C131" i="31"/>
  <c r="C134" i="31"/>
  <c r="N159" i="38"/>
  <c r="N141" i="38"/>
  <c r="G159" i="38"/>
  <c r="G141" i="38"/>
  <c r="N110" i="38"/>
  <c r="N107" i="38"/>
  <c r="N122" i="38"/>
  <c r="N11" i="38" s="1"/>
  <c r="N42" i="46" s="1"/>
  <c r="N113" i="38"/>
  <c r="F141" i="38"/>
  <c r="F159" i="38"/>
  <c r="G110" i="38"/>
  <c r="G113" i="38"/>
  <c r="G107" i="38"/>
  <c r="G122" i="38"/>
  <c r="G11" i="38" s="1"/>
  <c r="G42" i="46" s="1"/>
  <c r="M120" i="38"/>
  <c r="M138" i="38"/>
  <c r="F110" i="38"/>
  <c r="F113" i="38"/>
  <c r="F122" i="38"/>
  <c r="F11" i="38" s="1"/>
  <c r="F42" i="46" s="1"/>
  <c r="F107" i="38"/>
  <c r="E107" i="38"/>
  <c r="E110" i="38"/>
  <c r="E122" i="38"/>
  <c r="E11" i="38" s="1"/>
  <c r="E42" i="46" s="1"/>
  <c r="E113" i="38"/>
  <c r="M92" i="38"/>
  <c r="M101" i="38"/>
  <c r="M10" i="38" s="1"/>
  <c r="M41" i="46" s="1"/>
  <c r="M89" i="38"/>
  <c r="M86" i="38"/>
  <c r="H120" i="38"/>
  <c r="H138" i="38"/>
  <c r="E141" i="38"/>
  <c r="E159" i="38"/>
  <c r="H92" i="38"/>
  <c r="H101" i="38"/>
  <c r="H10" i="38" s="1"/>
  <c r="H41" i="46" s="1"/>
  <c r="H89" i="38"/>
  <c r="H86" i="38"/>
  <c r="P92" i="38"/>
  <c r="P86" i="38"/>
  <c r="P89" i="38"/>
  <c r="P101" i="38"/>
  <c r="P10" i="38" s="1"/>
  <c r="P41" i="46" s="1"/>
  <c r="P120" i="38"/>
  <c r="P138" i="38"/>
  <c r="G107" i="31"/>
  <c r="G122" i="31"/>
  <c r="G11" i="31" s="1"/>
  <c r="G12" i="46" s="1"/>
  <c r="G113" i="31"/>
  <c r="Q178" i="38"/>
  <c r="Q181" i="38" s="1"/>
  <c r="Q162" i="38"/>
  <c r="C178" i="38"/>
  <c r="C181" i="38" s="1"/>
  <c r="C162" i="38"/>
  <c r="L171" i="38"/>
  <c r="L168" i="38"/>
  <c r="L183" i="38"/>
  <c r="L14" i="38" s="1"/>
  <c r="L45" i="46" s="1"/>
  <c r="L174" i="38"/>
  <c r="Q134" i="38"/>
  <c r="Q143" i="38"/>
  <c r="Q12" i="38" s="1"/>
  <c r="Q43" i="46" s="1"/>
  <c r="Q131" i="38"/>
  <c r="Q128" i="38"/>
  <c r="L164" i="38"/>
  <c r="L13" i="38" s="1"/>
  <c r="L44" i="46" s="1"/>
  <c r="L152" i="38"/>
  <c r="L155" i="38"/>
  <c r="L149" i="38"/>
  <c r="R174" i="38"/>
  <c r="R183" i="38"/>
  <c r="R14" i="38" s="1"/>
  <c r="R45" i="46" s="1"/>
  <c r="R171" i="38"/>
  <c r="R168" i="38"/>
  <c r="R149" i="38"/>
  <c r="R152" i="38"/>
  <c r="R155" i="38"/>
  <c r="R164" i="38"/>
  <c r="R13" i="38" s="1"/>
  <c r="R44" i="46" s="1"/>
  <c r="C131" i="38"/>
  <c r="C128" i="38"/>
  <c r="C143" i="38"/>
  <c r="C12" i="38" s="1"/>
  <c r="C43" i="46" s="1"/>
  <c r="C134" i="38"/>
  <c r="I143" i="38"/>
  <c r="I12" i="38" s="1"/>
  <c r="I43" i="46" s="1"/>
  <c r="I134" i="38"/>
  <c r="I131" i="38"/>
  <c r="I128" i="38"/>
  <c r="O131" i="38"/>
  <c r="O128" i="38"/>
  <c r="O143" i="38"/>
  <c r="O12" i="38" s="1"/>
  <c r="O43" i="46" s="1"/>
  <c r="O134" i="38"/>
  <c r="O162" i="38"/>
  <c r="O178" i="38"/>
  <c r="O181" i="38" s="1"/>
  <c r="I178" i="38"/>
  <c r="I181" i="38" s="1"/>
  <c r="I162" i="38"/>
  <c r="D143" i="31"/>
  <c r="D12" i="31" s="1"/>
  <c r="D13" i="46" s="1"/>
  <c r="D134" i="31"/>
  <c r="D128" i="31"/>
  <c r="D131" i="31"/>
  <c r="D178" i="31"/>
  <c r="D181" i="31" s="1"/>
  <c r="D162" i="31"/>
  <c r="H162" i="31"/>
  <c r="H178" i="31"/>
  <c r="H181" i="31" s="1"/>
  <c r="H143" i="31"/>
  <c r="H12" i="31" s="1"/>
  <c r="H13" i="46" s="1"/>
  <c r="H134" i="31"/>
  <c r="H131" i="31"/>
  <c r="H128" i="31"/>
  <c r="E143" i="31"/>
  <c r="E12" i="31" s="1"/>
  <c r="E13" i="46" s="1"/>
  <c r="E128" i="31"/>
  <c r="E134" i="31"/>
  <c r="E131" i="31"/>
  <c r="Q141" i="31"/>
  <c r="Q159" i="31"/>
  <c r="E162" i="31"/>
  <c r="E178" i="31"/>
  <c r="E181" i="31" s="1"/>
  <c r="Q122" i="31"/>
  <c r="Q11" i="31" s="1"/>
  <c r="Q12" i="46" s="1"/>
  <c r="Q107" i="31"/>
  <c r="Q110" i="31"/>
  <c r="Q113" i="31"/>
  <c r="C183" i="31"/>
  <c r="C14" i="31" s="1"/>
  <c r="C15" i="46" s="1"/>
  <c r="C174" i="31"/>
  <c r="C171" i="31"/>
  <c r="C168" i="31"/>
  <c r="K164" i="31"/>
  <c r="K13" i="31" s="1"/>
  <c r="K14" i="46" s="1"/>
  <c r="K155" i="31"/>
  <c r="K152" i="31"/>
  <c r="K149" i="31"/>
  <c r="C164" i="31"/>
  <c r="C13" i="31" s="1"/>
  <c r="C14" i="46" s="1"/>
  <c r="C155" i="31"/>
  <c r="C152" i="31"/>
  <c r="C149" i="31"/>
  <c r="R122" i="31"/>
  <c r="R11" i="31" s="1"/>
  <c r="R12" i="46" s="1"/>
  <c r="R110" i="31"/>
  <c r="R113" i="31"/>
  <c r="R107" i="31"/>
  <c r="O143" i="31"/>
  <c r="O12" i="31" s="1"/>
  <c r="O13" i="46" s="1"/>
  <c r="O128" i="31"/>
  <c r="O134" i="31"/>
  <c r="O131" i="31"/>
  <c r="P162" i="31"/>
  <c r="P178" i="31"/>
  <c r="P181" i="31" s="1"/>
  <c r="G178" i="31"/>
  <c r="G181" i="31" s="1"/>
  <c r="G162" i="31"/>
  <c r="N141" i="31"/>
  <c r="N159" i="31"/>
  <c r="F159" i="31"/>
  <c r="F141" i="31"/>
  <c r="F122" i="31"/>
  <c r="F11" i="31" s="1"/>
  <c r="F12" i="46" s="1"/>
  <c r="F113" i="31"/>
  <c r="F110" i="31"/>
  <c r="F107" i="31"/>
  <c r="J141" i="31"/>
  <c r="J159" i="31"/>
  <c r="J110" i="31"/>
  <c r="J113" i="31"/>
  <c r="J122" i="31"/>
  <c r="J11" i="31" s="1"/>
  <c r="J12" i="46" s="1"/>
  <c r="J107" i="31"/>
  <c r="M143" i="31"/>
  <c r="M12" i="31" s="1"/>
  <c r="M13" i="46" s="1"/>
  <c r="M131" i="31"/>
  <c r="M128" i="31"/>
  <c r="M134" i="31"/>
  <c r="G131" i="31"/>
  <c r="G143" i="31"/>
  <c r="G12" i="31" s="1"/>
  <c r="G13" i="46" s="1"/>
  <c r="G128" i="31"/>
  <c r="G134" i="31"/>
  <c r="N122" i="31"/>
  <c r="N11" i="31" s="1"/>
  <c r="N12" i="46" s="1"/>
  <c r="N107" i="31"/>
  <c r="N110" i="31"/>
  <c r="N113" i="31"/>
  <c r="R141" i="31"/>
  <c r="R159" i="31"/>
  <c r="O162" i="31"/>
  <c r="O178" i="31"/>
  <c r="O181" i="31" s="1"/>
  <c r="P143" i="31"/>
  <c r="P12" i="31" s="1"/>
  <c r="P13" i="46" s="1"/>
  <c r="P134" i="31"/>
  <c r="P131" i="31"/>
  <c r="P128" i="31"/>
  <c r="I164" i="31"/>
  <c r="I13" i="31" s="1"/>
  <c r="I14" i="46" s="1"/>
  <c r="I155" i="31"/>
  <c r="I152" i="31"/>
  <c r="I149" i="31"/>
  <c r="M162" i="31"/>
  <c r="M178" i="31"/>
  <c r="M181" i="31" s="1"/>
  <c r="D155" i="38" l="1"/>
  <c r="D178" i="38"/>
  <c r="D181" i="38" s="1"/>
  <c r="D168" i="38" s="1"/>
  <c r="D149" i="38"/>
  <c r="D152" i="38"/>
  <c r="L128" i="31"/>
  <c r="L131" i="31"/>
  <c r="L134" i="31"/>
  <c r="L143" i="31"/>
  <c r="L12" i="31" s="1"/>
  <c r="L13" i="46" s="1"/>
  <c r="L162" i="31"/>
  <c r="L178" i="31"/>
  <c r="L181" i="31" s="1"/>
  <c r="I174" i="31"/>
  <c r="I183" i="31"/>
  <c r="I14" i="31" s="1"/>
  <c r="I15" i="46" s="1"/>
  <c r="K168" i="31"/>
  <c r="K171" i="31"/>
  <c r="K174" i="31"/>
  <c r="I168" i="31"/>
  <c r="H122" i="38"/>
  <c r="H11" i="38" s="1"/>
  <c r="H42" i="46" s="1"/>
  <c r="H107" i="38"/>
  <c r="H110" i="38"/>
  <c r="H113" i="38"/>
  <c r="P141" i="38"/>
  <c r="P159" i="38"/>
  <c r="F162" i="38"/>
  <c r="F178" i="38"/>
  <c r="F181" i="38" s="1"/>
  <c r="N143" i="38"/>
  <c r="N12" i="38" s="1"/>
  <c r="N43" i="46" s="1"/>
  <c r="N134" i="38"/>
  <c r="N128" i="38"/>
  <c r="N131" i="38"/>
  <c r="P113" i="38"/>
  <c r="P110" i="38"/>
  <c r="P107" i="38"/>
  <c r="P122" i="38"/>
  <c r="P11" i="38" s="1"/>
  <c r="P42" i="46" s="1"/>
  <c r="F128" i="38"/>
  <c r="F134" i="38"/>
  <c r="F143" i="38"/>
  <c r="F12" i="38" s="1"/>
  <c r="F43" i="46" s="1"/>
  <c r="F131" i="38"/>
  <c r="N162" i="38"/>
  <c r="N178" i="38"/>
  <c r="N181" i="38" s="1"/>
  <c r="E162" i="38"/>
  <c r="E178" i="38"/>
  <c r="E181" i="38" s="1"/>
  <c r="M159" i="38"/>
  <c r="M141" i="38"/>
  <c r="E128" i="38"/>
  <c r="E131" i="38"/>
  <c r="E134" i="38"/>
  <c r="E143" i="38"/>
  <c r="E12" i="38" s="1"/>
  <c r="E43" i="46" s="1"/>
  <c r="M107" i="38"/>
  <c r="M110" i="38"/>
  <c r="M113" i="38"/>
  <c r="M122" i="38"/>
  <c r="M11" i="38" s="1"/>
  <c r="M42" i="46" s="1"/>
  <c r="H159" i="38"/>
  <c r="H141" i="38"/>
  <c r="G178" i="38"/>
  <c r="G181" i="38" s="1"/>
  <c r="G162" i="38"/>
  <c r="G128" i="38"/>
  <c r="G134" i="38"/>
  <c r="G143" i="38"/>
  <c r="G12" i="38" s="1"/>
  <c r="G43" i="46" s="1"/>
  <c r="G131" i="38"/>
  <c r="I183" i="38"/>
  <c r="I14" i="38" s="1"/>
  <c r="I45" i="46" s="1"/>
  <c r="I174" i="38"/>
  <c r="I171" i="38"/>
  <c r="I168" i="38"/>
  <c r="O183" i="38"/>
  <c r="O14" i="38" s="1"/>
  <c r="O45" i="46" s="1"/>
  <c r="O171" i="38"/>
  <c r="O168" i="38"/>
  <c r="O174" i="38"/>
  <c r="O155" i="38"/>
  <c r="O164" i="38"/>
  <c r="O13" i="38" s="1"/>
  <c r="O44" i="46" s="1"/>
  <c r="O152" i="38"/>
  <c r="O149" i="38"/>
  <c r="Q152" i="38"/>
  <c r="Q149" i="38"/>
  <c r="Q164" i="38"/>
  <c r="Q13" i="38" s="1"/>
  <c r="Q44" i="46" s="1"/>
  <c r="Q155" i="38"/>
  <c r="I152" i="38"/>
  <c r="I149" i="38"/>
  <c r="I164" i="38"/>
  <c r="I13" i="38" s="1"/>
  <c r="I44" i="46" s="1"/>
  <c r="I155" i="38"/>
  <c r="C164" i="38"/>
  <c r="C13" i="38" s="1"/>
  <c r="C44" i="46" s="1"/>
  <c r="C152" i="38"/>
  <c r="C155" i="38"/>
  <c r="C149" i="38"/>
  <c r="C183" i="38"/>
  <c r="C14" i="38" s="1"/>
  <c r="C45" i="46" s="1"/>
  <c r="C171" i="38"/>
  <c r="C168" i="38"/>
  <c r="C174" i="38"/>
  <c r="Q183" i="38"/>
  <c r="Q14" i="38" s="1"/>
  <c r="Q45" i="46" s="1"/>
  <c r="Q171" i="38"/>
  <c r="Q168" i="38"/>
  <c r="Q174" i="38"/>
  <c r="H164" i="31"/>
  <c r="H13" i="31" s="1"/>
  <c r="H14" i="46" s="1"/>
  <c r="H155" i="31"/>
  <c r="H152" i="31"/>
  <c r="H149" i="31"/>
  <c r="D149" i="31"/>
  <c r="D155" i="31"/>
  <c r="D164" i="31"/>
  <c r="D13" i="31" s="1"/>
  <c r="D14" i="46" s="1"/>
  <c r="D152" i="31"/>
  <c r="H168" i="31"/>
  <c r="H183" i="31"/>
  <c r="H14" i="31" s="1"/>
  <c r="H15" i="46" s="1"/>
  <c r="H174" i="31"/>
  <c r="H171" i="31"/>
  <c r="D183" i="31"/>
  <c r="D14" i="31" s="1"/>
  <c r="D15" i="46" s="1"/>
  <c r="D171" i="31"/>
  <c r="D174" i="31"/>
  <c r="D168" i="31"/>
  <c r="E168" i="31"/>
  <c r="E183" i="31"/>
  <c r="E14" i="31" s="1"/>
  <c r="E15" i="46" s="1"/>
  <c r="E171" i="31"/>
  <c r="E174" i="31"/>
  <c r="E155" i="31"/>
  <c r="E149" i="31"/>
  <c r="E164" i="31"/>
  <c r="E13" i="31" s="1"/>
  <c r="E14" i="46" s="1"/>
  <c r="E152" i="31"/>
  <c r="Q143" i="31"/>
  <c r="Q12" i="31" s="1"/>
  <c r="Q13" i="46" s="1"/>
  <c r="Q134" i="31"/>
  <c r="Q131" i="31"/>
  <c r="Q128" i="31"/>
  <c r="M183" i="31"/>
  <c r="M14" i="31" s="1"/>
  <c r="M15" i="46" s="1"/>
  <c r="M171" i="31"/>
  <c r="M168" i="31"/>
  <c r="M174" i="31"/>
  <c r="F131" i="31"/>
  <c r="F143" i="31"/>
  <c r="F12" i="31" s="1"/>
  <c r="F13" i="46" s="1"/>
  <c r="F134" i="31"/>
  <c r="F128" i="31"/>
  <c r="G155" i="31"/>
  <c r="G149" i="31"/>
  <c r="G152" i="31"/>
  <c r="G164" i="31"/>
  <c r="G13" i="31" s="1"/>
  <c r="G14" i="46" s="1"/>
  <c r="R143" i="31"/>
  <c r="R12" i="31" s="1"/>
  <c r="R13" i="46" s="1"/>
  <c r="R134" i="31"/>
  <c r="R131" i="31"/>
  <c r="R128" i="31"/>
  <c r="Q162" i="31"/>
  <c r="Q178" i="31"/>
  <c r="Q181" i="31" s="1"/>
  <c r="M164" i="31"/>
  <c r="M13" i="31" s="1"/>
  <c r="M14" i="46" s="1"/>
  <c r="M155" i="31"/>
  <c r="M149" i="31"/>
  <c r="M152" i="31"/>
  <c r="F162" i="31"/>
  <c r="F178" i="31"/>
  <c r="F181" i="31" s="1"/>
  <c r="G174" i="31"/>
  <c r="G168" i="31"/>
  <c r="G183" i="31"/>
  <c r="G14" i="31" s="1"/>
  <c r="G15" i="46" s="1"/>
  <c r="G171" i="31"/>
  <c r="O183" i="31"/>
  <c r="O14" i="31" s="1"/>
  <c r="O15" i="46" s="1"/>
  <c r="O168" i="31"/>
  <c r="O174" i="31"/>
  <c r="O171" i="31"/>
  <c r="N162" i="31"/>
  <c r="N178" i="31"/>
  <c r="N181" i="31" s="1"/>
  <c r="P183" i="31"/>
  <c r="P14" i="31" s="1"/>
  <c r="P15" i="46" s="1"/>
  <c r="P174" i="31"/>
  <c r="P171" i="31"/>
  <c r="P168" i="31"/>
  <c r="R162" i="31"/>
  <c r="R178" i="31"/>
  <c r="R181" i="31" s="1"/>
  <c r="J162" i="31"/>
  <c r="J178" i="31"/>
  <c r="J181" i="31" s="1"/>
  <c r="O164" i="31"/>
  <c r="O13" i="31" s="1"/>
  <c r="O14" i="46" s="1"/>
  <c r="O152" i="31"/>
  <c r="O155" i="31"/>
  <c r="O149" i="31"/>
  <c r="J143" i="31"/>
  <c r="J12" i="31" s="1"/>
  <c r="J13" i="46" s="1"/>
  <c r="J134" i="31"/>
  <c r="J131" i="31"/>
  <c r="J128" i="31"/>
  <c r="N143" i="31"/>
  <c r="N12" i="31" s="1"/>
  <c r="N13" i="46" s="1"/>
  <c r="N131" i="31"/>
  <c r="N128" i="31"/>
  <c r="N134" i="31"/>
  <c r="P164" i="31"/>
  <c r="P13" i="31" s="1"/>
  <c r="P14" i="46" s="1"/>
  <c r="P155" i="31"/>
  <c r="P152" i="31"/>
  <c r="P149" i="31"/>
  <c r="D171" i="38" l="1"/>
  <c r="D174" i="38"/>
  <c r="D183" i="38"/>
  <c r="D14" i="38" s="1"/>
  <c r="D45" i="46" s="1"/>
  <c r="L171" i="31"/>
  <c r="L174" i="31"/>
  <c r="L168" i="31"/>
  <c r="L183" i="31"/>
  <c r="L14" i="31" s="1"/>
  <c r="L15" i="46" s="1"/>
  <c r="L164" i="31"/>
  <c r="L13" i="31" s="1"/>
  <c r="L14" i="46" s="1"/>
  <c r="L152" i="31"/>
  <c r="L155" i="31"/>
  <c r="L149" i="31"/>
  <c r="F171" i="38"/>
  <c r="F174" i="38"/>
  <c r="F183" i="38"/>
  <c r="F14" i="38" s="1"/>
  <c r="F45" i="46" s="1"/>
  <c r="F168" i="38"/>
  <c r="E164" i="38"/>
  <c r="E13" i="38" s="1"/>
  <c r="E44" i="46" s="1"/>
  <c r="E149" i="38"/>
  <c r="E155" i="38"/>
  <c r="E152" i="38"/>
  <c r="G152" i="38"/>
  <c r="G155" i="38"/>
  <c r="G149" i="38"/>
  <c r="G164" i="38"/>
  <c r="G13" i="38" s="1"/>
  <c r="G44" i="46" s="1"/>
  <c r="N183" i="38"/>
  <c r="N14" i="38" s="1"/>
  <c r="N45" i="46" s="1"/>
  <c r="N171" i="38"/>
  <c r="N168" i="38"/>
  <c r="N174" i="38"/>
  <c r="P162" i="38"/>
  <c r="P178" i="38"/>
  <c r="P181" i="38" s="1"/>
  <c r="G171" i="38"/>
  <c r="G183" i="38"/>
  <c r="G14" i="38" s="1"/>
  <c r="G45" i="46" s="1"/>
  <c r="G174" i="38"/>
  <c r="G168" i="38"/>
  <c r="N164" i="38"/>
  <c r="N13" i="38" s="1"/>
  <c r="N44" i="46" s="1"/>
  <c r="N152" i="38"/>
  <c r="N149" i="38"/>
  <c r="N155" i="38"/>
  <c r="P143" i="38"/>
  <c r="P12" i="38" s="1"/>
  <c r="P43" i="46" s="1"/>
  <c r="P128" i="38"/>
  <c r="P131" i="38"/>
  <c r="P134" i="38"/>
  <c r="M131" i="38"/>
  <c r="M134" i="38"/>
  <c r="M128" i="38"/>
  <c r="M143" i="38"/>
  <c r="M12" i="38" s="1"/>
  <c r="M43" i="46" s="1"/>
  <c r="M178" i="38"/>
  <c r="M181" i="38" s="1"/>
  <c r="M162" i="38"/>
  <c r="E171" i="38"/>
  <c r="E168" i="38"/>
  <c r="E183" i="38"/>
  <c r="E14" i="38" s="1"/>
  <c r="E45" i="46" s="1"/>
  <c r="E174" i="38"/>
  <c r="F164" i="38"/>
  <c r="F13" i="38" s="1"/>
  <c r="F44" i="46" s="1"/>
  <c r="F155" i="38"/>
  <c r="F149" i="38"/>
  <c r="F152" i="38"/>
  <c r="H131" i="38"/>
  <c r="H128" i="38"/>
  <c r="H143" i="38"/>
  <c r="H12" i="38" s="1"/>
  <c r="H43" i="46" s="1"/>
  <c r="H134" i="38"/>
  <c r="H178" i="38"/>
  <c r="H181" i="38" s="1"/>
  <c r="H162" i="38"/>
  <c r="N183" i="31"/>
  <c r="N14" i="31" s="1"/>
  <c r="N15" i="46" s="1"/>
  <c r="N174" i="31"/>
  <c r="N168" i="31"/>
  <c r="N171" i="31"/>
  <c r="Q164" i="31"/>
  <c r="Q13" i="31" s="1"/>
  <c r="Q14" i="46" s="1"/>
  <c r="Q155" i="31"/>
  <c r="Q152" i="31"/>
  <c r="Q149" i="31"/>
  <c r="J183" i="31"/>
  <c r="J14" i="31" s="1"/>
  <c r="J15" i="46" s="1"/>
  <c r="J174" i="31"/>
  <c r="J171" i="31"/>
  <c r="J168" i="31"/>
  <c r="N164" i="31"/>
  <c r="N13" i="31" s="1"/>
  <c r="N14" i="46" s="1"/>
  <c r="N149" i="31"/>
  <c r="N155" i="31"/>
  <c r="N152" i="31"/>
  <c r="R183" i="31"/>
  <c r="R14" i="31" s="1"/>
  <c r="R15" i="46" s="1"/>
  <c r="R174" i="31"/>
  <c r="R171" i="31"/>
  <c r="R168" i="31"/>
  <c r="R164" i="31"/>
  <c r="R13" i="31" s="1"/>
  <c r="R14" i="46" s="1"/>
  <c r="R155" i="31"/>
  <c r="R152" i="31"/>
  <c r="R149" i="31"/>
  <c r="F149" i="31"/>
  <c r="F155" i="31"/>
  <c r="F164" i="31"/>
  <c r="F13" i="31" s="1"/>
  <c r="F14" i="46" s="1"/>
  <c r="F152" i="31"/>
  <c r="F171" i="31"/>
  <c r="F183" i="31"/>
  <c r="F14" i="31" s="1"/>
  <c r="F15" i="46" s="1"/>
  <c r="F174" i="31"/>
  <c r="F168" i="31"/>
  <c r="Q183" i="31"/>
  <c r="Q14" i="31" s="1"/>
  <c r="Q15" i="46" s="1"/>
  <c r="Q174" i="31"/>
  <c r="Q171" i="31"/>
  <c r="Q168" i="31"/>
  <c r="J164" i="31"/>
  <c r="J13" i="31" s="1"/>
  <c r="J14" i="46" s="1"/>
  <c r="J155" i="31"/>
  <c r="J152" i="31"/>
  <c r="J149" i="31"/>
  <c r="H164" i="38" l="1"/>
  <c r="H13" i="38" s="1"/>
  <c r="H44" i="46" s="1"/>
  <c r="H152" i="38"/>
  <c r="H149" i="38"/>
  <c r="H155" i="38"/>
  <c r="H174" i="38"/>
  <c r="H171" i="38"/>
  <c r="H183" i="38"/>
  <c r="H14" i="38" s="1"/>
  <c r="H45" i="46" s="1"/>
  <c r="H168" i="38"/>
  <c r="P149" i="38"/>
  <c r="P155" i="38"/>
  <c r="P152" i="38"/>
  <c r="P164" i="38"/>
  <c r="P13" i="38" s="1"/>
  <c r="P44" i="46" s="1"/>
  <c r="M155" i="38"/>
  <c r="M152" i="38"/>
  <c r="M149" i="38"/>
  <c r="M164" i="38"/>
  <c r="M13" i="38" s="1"/>
  <c r="M44" i="46" s="1"/>
  <c r="M174" i="38"/>
  <c r="M168" i="38"/>
  <c r="M183" i="38"/>
  <c r="M14" i="38" s="1"/>
  <c r="M45" i="46" s="1"/>
  <c r="M171" i="38"/>
  <c r="P183" i="38"/>
  <c r="P14" i="38" s="1"/>
  <c r="P45" i="46" s="1"/>
  <c r="P171" i="38"/>
  <c r="P168" i="38"/>
  <c r="P174" i="38"/>
  <c r="G50" i="19"/>
  <c r="X16" i="38" l="1"/>
  <c r="G35" i="46" s="1"/>
  <c r="R39" i="19"/>
  <c r="P114" i="19"/>
  <c r="O114" i="19"/>
  <c r="M114" i="19"/>
  <c r="L114" i="19"/>
  <c r="K114" i="19"/>
  <c r="J114" i="19"/>
  <c r="I114" i="19"/>
  <c r="H114" i="19"/>
  <c r="G114" i="19"/>
  <c r="E114" i="19"/>
  <c r="D114" i="19"/>
  <c r="C114" i="19"/>
  <c r="Q114" i="19" l="1"/>
  <c r="R114" i="19"/>
  <c r="N114" i="19"/>
  <c r="F114" i="19"/>
  <c r="R182" i="19" l="1"/>
  <c r="Q182" i="19"/>
  <c r="P182" i="19"/>
  <c r="O182" i="19"/>
  <c r="N182" i="19"/>
  <c r="M182" i="19"/>
  <c r="L182" i="19"/>
  <c r="K182" i="19"/>
  <c r="J182" i="19"/>
  <c r="I182" i="19"/>
  <c r="H182" i="19"/>
  <c r="G182" i="19"/>
  <c r="F182" i="19"/>
  <c r="E182" i="19"/>
  <c r="D182" i="19"/>
  <c r="C182" i="19"/>
  <c r="R163" i="19"/>
  <c r="Q163" i="19"/>
  <c r="P163" i="19"/>
  <c r="O163" i="19"/>
  <c r="N163" i="19"/>
  <c r="M163" i="19"/>
  <c r="L163" i="19"/>
  <c r="K163" i="19"/>
  <c r="J163" i="19"/>
  <c r="I163" i="19"/>
  <c r="H163" i="19"/>
  <c r="G163" i="19"/>
  <c r="F163" i="19"/>
  <c r="E163" i="19"/>
  <c r="D163" i="19"/>
  <c r="C163" i="19"/>
  <c r="R142" i="19"/>
  <c r="Q142" i="19"/>
  <c r="P142" i="19"/>
  <c r="O142" i="19"/>
  <c r="N142" i="19"/>
  <c r="M142" i="19"/>
  <c r="L142" i="19"/>
  <c r="K142" i="19"/>
  <c r="J142" i="19"/>
  <c r="I142" i="19"/>
  <c r="H142" i="19"/>
  <c r="G142" i="19"/>
  <c r="F142" i="19"/>
  <c r="E142" i="19"/>
  <c r="D142" i="19"/>
  <c r="C142" i="19"/>
  <c r="R121" i="19"/>
  <c r="Q121" i="19"/>
  <c r="P121" i="19"/>
  <c r="O121" i="19"/>
  <c r="N121" i="19"/>
  <c r="M121" i="19"/>
  <c r="L121" i="19"/>
  <c r="K121" i="19"/>
  <c r="J121" i="19"/>
  <c r="I121" i="19"/>
  <c r="H121" i="19"/>
  <c r="G121" i="19"/>
  <c r="F121" i="19"/>
  <c r="E121" i="19"/>
  <c r="D121" i="19"/>
  <c r="C121" i="19"/>
  <c r="R103" i="19"/>
  <c r="Q103" i="19"/>
  <c r="P103" i="19"/>
  <c r="O103" i="19"/>
  <c r="N103" i="19"/>
  <c r="M103" i="19"/>
  <c r="L103" i="19"/>
  <c r="K103" i="19"/>
  <c r="J103" i="19"/>
  <c r="I103" i="19"/>
  <c r="H103" i="19"/>
  <c r="G103" i="19"/>
  <c r="F103" i="19"/>
  <c r="E103" i="19"/>
  <c r="D103" i="19"/>
  <c r="R100" i="19"/>
  <c r="Q100" i="19"/>
  <c r="P100" i="19"/>
  <c r="O100" i="19"/>
  <c r="N100" i="19"/>
  <c r="M100" i="19"/>
  <c r="L100" i="19"/>
  <c r="K100" i="19"/>
  <c r="J100" i="19"/>
  <c r="I100" i="19"/>
  <c r="H100" i="19"/>
  <c r="G100" i="19"/>
  <c r="F100" i="19"/>
  <c r="E100" i="19"/>
  <c r="D100" i="19"/>
  <c r="C100" i="19"/>
  <c r="R76" i="19"/>
  <c r="Q76" i="19"/>
  <c r="P76" i="19"/>
  <c r="O76" i="19"/>
  <c r="N76" i="19"/>
  <c r="M76" i="19"/>
  <c r="L76" i="19"/>
  <c r="K76" i="19"/>
  <c r="J76" i="19"/>
  <c r="I76" i="19"/>
  <c r="H76" i="19"/>
  <c r="G76" i="19"/>
  <c r="F76" i="19"/>
  <c r="E76" i="19"/>
  <c r="D76" i="19"/>
  <c r="C76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R50" i="19"/>
  <c r="Q50" i="19"/>
  <c r="P50" i="19"/>
  <c r="O50" i="19"/>
  <c r="N50" i="19"/>
  <c r="M50" i="19"/>
  <c r="L50" i="19"/>
  <c r="K50" i="19"/>
  <c r="J50" i="19"/>
  <c r="I50" i="19"/>
  <c r="H50" i="19"/>
  <c r="F50" i="19"/>
  <c r="E50" i="19"/>
  <c r="D50" i="19"/>
  <c r="C50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Q30" i="19"/>
  <c r="Q33" i="19" s="1"/>
  <c r="P30" i="19"/>
  <c r="P33" i="19" s="1"/>
  <c r="O30" i="19"/>
  <c r="O33" i="19" s="1"/>
  <c r="N30" i="19"/>
  <c r="N33" i="19" s="1"/>
  <c r="K30" i="19"/>
  <c r="I30" i="19"/>
  <c r="I33" i="19" s="1"/>
  <c r="H30" i="19"/>
  <c r="H33" i="19" s="1"/>
  <c r="F30" i="19"/>
  <c r="F33" i="19" s="1"/>
  <c r="R30" i="19"/>
  <c r="R33" i="19" s="1"/>
  <c r="M30" i="19"/>
  <c r="M33" i="19" s="1"/>
  <c r="L30" i="19"/>
  <c r="L33" i="19" s="1"/>
  <c r="J30" i="19"/>
  <c r="J33" i="19" s="1"/>
  <c r="G30" i="19"/>
  <c r="G53" i="19" s="1"/>
  <c r="G56" i="19" s="1"/>
  <c r="E30" i="19"/>
  <c r="D30" i="19"/>
  <c r="D33" i="19" s="1"/>
  <c r="C30" i="19"/>
  <c r="C33" i="19" s="1"/>
  <c r="H53" i="19" l="1"/>
  <c r="H56" i="19" s="1"/>
  <c r="H46" i="19" s="1"/>
  <c r="I53" i="19"/>
  <c r="I56" i="19" s="1"/>
  <c r="I49" i="19" s="1"/>
  <c r="J53" i="19"/>
  <c r="J72" i="19" s="1"/>
  <c r="J75" i="19" s="1"/>
  <c r="J65" i="19" s="1"/>
  <c r="Q53" i="19"/>
  <c r="Q56" i="19" s="1"/>
  <c r="Q46" i="19" s="1"/>
  <c r="P53" i="19"/>
  <c r="P56" i="19" s="1"/>
  <c r="R35" i="19"/>
  <c r="R7" i="19" s="1"/>
  <c r="R23" i="46" s="1"/>
  <c r="R26" i="19"/>
  <c r="R23" i="19"/>
  <c r="R20" i="19"/>
  <c r="C35" i="19"/>
  <c r="C7" i="19" s="1"/>
  <c r="C23" i="46" s="1"/>
  <c r="C26" i="19"/>
  <c r="C23" i="19"/>
  <c r="C20" i="19"/>
  <c r="H23" i="19"/>
  <c r="H26" i="19"/>
  <c r="H20" i="19"/>
  <c r="D35" i="19"/>
  <c r="D7" i="19" s="1"/>
  <c r="D23" i="46" s="1"/>
  <c r="D20" i="19"/>
  <c r="D26" i="19"/>
  <c r="D23" i="19"/>
  <c r="I26" i="19"/>
  <c r="I23" i="19"/>
  <c r="I20" i="19"/>
  <c r="P35" i="19"/>
  <c r="P7" i="19" s="1"/>
  <c r="P23" i="46" s="1"/>
  <c r="P26" i="19"/>
  <c r="P23" i="19"/>
  <c r="P20" i="19"/>
  <c r="J35" i="19"/>
  <c r="J7" i="19" s="1"/>
  <c r="J23" i="46" s="1"/>
  <c r="J26" i="19"/>
  <c r="J23" i="19"/>
  <c r="J20" i="19"/>
  <c r="N35" i="19"/>
  <c r="N7" i="19" s="1"/>
  <c r="N23" i="46" s="1"/>
  <c r="N23" i="19"/>
  <c r="N20" i="19"/>
  <c r="N26" i="19"/>
  <c r="H35" i="19"/>
  <c r="H7" i="19" s="1"/>
  <c r="H23" i="46" s="1"/>
  <c r="L53" i="19"/>
  <c r="L56" i="19" s="1"/>
  <c r="I35" i="19"/>
  <c r="I7" i="19" s="1"/>
  <c r="I23" i="46" s="1"/>
  <c r="L35" i="19"/>
  <c r="L7" i="19" s="1"/>
  <c r="L23" i="46" s="1"/>
  <c r="L26" i="19"/>
  <c r="L23" i="19"/>
  <c r="L20" i="19"/>
  <c r="O35" i="19"/>
  <c r="O7" i="19" s="1"/>
  <c r="O23" i="46" s="1"/>
  <c r="O26" i="19"/>
  <c r="O23" i="19"/>
  <c r="O20" i="19"/>
  <c r="D53" i="19"/>
  <c r="D56" i="19" s="1"/>
  <c r="D58" i="19" s="1"/>
  <c r="D8" i="19" s="1"/>
  <c r="D24" i="46" s="1"/>
  <c r="F35" i="19"/>
  <c r="F7" i="19" s="1"/>
  <c r="F23" i="46" s="1"/>
  <c r="F26" i="19"/>
  <c r="F23" i="19"/>
  <c r="F20" i="19"/>
  <c r="Q35" i="19"/>
  <c r="Q7" i="19" s="1"/>
  <c r="Q23" i="46" s="1"/>
  <c r="Q26" i="19"/>
  <c r="Q23" i="19"/>
  <c r="Q20" i="19"/>
  <c r="M35" i="19"/>
  <c r="M7" i="19" s="1"/>
  <c r="M23" i="46" s="1"/>
  <c r="M26" i="19"/>
  <c r="M23" i="19"/>
  <c r="M20" i="19"/>
  <c r="E33" i="19"/>
  <c r="E35" i="19" s="1"/>
  <c r="E53" i="19"/>
  <c r="E56" i="19" s="1"/>
  <c r="G49" i="19"/>
  <c r="G72" i="19"/>
  <c r="G75" i="19" s="1"/>
  <c r="R53" i="19"/>
  <c r="G33" i="19"/>
  <c r="F53" i="19"/>
  <c r="F56" i="19" s="1"/>
  <c r="N53" i="19"/>
  <c r="N56" i="19" s="1"/>
  <c r="O53" i="19"/>
  <c r="K53" i="19"/>
  <c r="K56" i="19" s="1"/>
  <c r="K49" i="19" s="1"/>
  <c r="K33" i="19"/>
  <c r="M53" i="19"/>
  <c r="C53" i="19"/>
  <c r="C56" i="19" s="1"/>
  <c r="I72" i="19" l="1"/>
  <c r="I75" i="19" s="1"/>
  <c r="I77" i="19" s="1"/>
  <c r="I9" i="19" s="1"/>
  <c r="I25" i="46" s="1"/>
  <c r="I58" i="19"/>
  <c r="I8" i="19" s="1"/>
  <c r="I24" i="46" s="1"/>
  <c r="H72" i="19"/>
  <c r="H75" i="19" s="1"/>
  <c r="H58" i="19"/>
  <c r="H8" i="19" s="1"/>
  <c r="H24" i="46" s="1"/>
  <c r="I46" i="19"/>
  <c r="Q58" i="19"/>
  <c r="Q8" i="19" s="1"/>
  <c r="Q24" i="46" s="1"/>
  <c r="I43" i="19"/>
  <c r="H43" i="19"/>
  <c r="H49" i="19"/>
  <c r="Q49" i="19"/>
  <c r="Q72" i="19"/>
  <c r="Q75" i="19" s="1"/>
  <c r="J96" i="19"/>
  <c r="J99" i="19" s="1"/>
  <c r="J89" i="19" s="1"/>
  <c r="Q43" i="19"/>
  <c r="J56" i="19"/>
  <c r="J43" i="19" s="1"/>
  <c r="P72" i="19"/>
  <c r="P96" i="19" s="1"/>
  <c r="P99" i="19" s="1"/>
  <c r="P101" i="19" s="1"/>
  <c r="J68" i="19"/>
  <c r="J77" i="19"/>
  <c r="J9" i="19" s="1"/>
  <c r="J25" i="46" s="1"/>
  <c r="L72" i="19"/>
  <c r="L75" i="19" s="1"/>
  <c r="L65" i="19" s="1"/>
  <c r="J62" i="19"/>
  <c r="I68" i="19"/>
  <c r="I65" i="19"/>
  <c r="I62" i="19"/>
  <c r="G68" i="19"/>
  <c r="G65" i="19"/>
  <c r="G62" i="19"/>
  <c r="C43" i="19"/>
  <c r="C49" i="19"/>
  <c r="C46" i="19"/>
  <c r="L43" i="19"/>
  <c r="L49" i="19"/>
  <c r="L46" i="19"/>
  <c r="N43" i="19"/>
  <c r="N46" i="19"/>
  <c r="N49" i="19"/>
  <c r="G35" i="19"/>
  <c r="G7" i="19" s="1"/>
  <c r="G23" i="46" s="1"/>
  <c r="G26" i="19"/>
  <c r="G20" i="19"/>
  <c r="G23" i="19"/>
  <c r="K35" i="19"/>
  <c r="K7" i="19" s="1"/>
  <c r="K23" i="46" s="1"/>
  <c r="K26" i="19"/>
  <c r="K23" i="19"/>
  <c r="K20" i="19"/>
  <c r="E7" i="19"/>
  <c r="E23" i="46" s="1"/>
  <c r="E26" i="19"/>
  <c r="E20" i="19"/>
  <c r="E23" i="19"/>
  <c r="P43" i="19"/>
  <c r="P49" i="19"/>
  <c r="P46" i="19"/>
  <c r="D46" i="19"/>
  <c r="D49" i="19"/>
  <c r="D43" i="19"/>
  <c r="L58" i="19"/>
  <c r="L8" i="19" s="1"/>
  <c r="L24" i="46" s="1"/>
  <c r="E46" i="19"/>
  <c r="E43" i="19"/>
  <c r="E49" i="19"/>
  <c r="D72" i="19"/>
  <c r="F49" i="19"/>
  <c r="F43" i="19"/>
  <c r="F46" i="19"/>
  <c r="G43" i="19"/>
  <c r="G46" i="19"/>
  <c r="K46" i="19"/>
  <c r="K43" i="19"/>
  <c r="E58" i="19"/>
  <c r="E8" i="19" s="1"/>
  <c r="E24" i="46" s="1"/>
  <c r="P58" i="19"/>
  <c r="P8" i="19" s="1"/>
  <c r="P24" i="46" s="1"/>
  <c r="K72" i="19"/>
  <c r="K96" i="19" s="1"/>
  <c r="K99" i="19" s="1"/>
  <c r="F72" i="19"/>
  <c r="G77" i="19"/>
  <c r="G9" i="19" s="1"/>
  <c r="G25" i="46" s="1"/>
  <c r="R56" i="19"/>
  <c r="R72" i="19"/>
  <c r="R96" i="19" s="1"/>
  <c r="R99" i="19" s="1"/>
  <c r="R86" i="19" s="1"/>
  <c r="N72" i="19"/>
  <c r="C58" i="19"/>
  <c r="C8" i="19" s="1"/>
  <c r="C24" i="46" s="1"/>
  <c r="M56" i="19"/>
  <c r="M72" i="19"/>
  <c r="N58" i="19"/>
  <c r="N8" i="19" s="1"/>
  <c r="N24" i="46" s="1"/>
  <c r="E72" i="19"/>
  <c r="G96" i="19"/>
  <c r="G99" i="19" s="1"/>
  <c r="K58" i="19"/>
  <c r="K8" i="19" s="1"/>
  <c r="K24" i="46" s="1"/>
  <c r="O56" i="19"/>
  <c r="O72" i="19"/>
  <c r="F58" i="19"/>
  <c r="F8" i="19" s="1"/>
  <c r="F24" i="46" s="1"/>
  <c r="G58" i="19"/>
  <c r="G8" i="19" s="1"/>
  <c r="G24" i="46" s="1"/>
  <c r="C72" i="19"/>
  <c r="I96" i="19" l="1"/>
  <c r="I99" i="19" s="1"/>
  <c r="I92" i="19" s="1"/>
  <c r="H96" i="19"/>
  <c r="H99" i="19" s="1"/>
  <c r="H92" i="19" s="1"/>
  <c r="J117" i="19"/>
  <c r="J120" i="19" s="1"/>
  <c r="J113" i="19" s="1"/>
  <c r="J92" i="19"/>
  <c r="J49" i="19"/>
  <c r="Q96" i="19"/>
  <c r="Q99" i="19" s="1"/>
  <c r="L96" i="19"/>
  <c r="L99" i="19" s="1"/>
  <c r="L101" i="19" s="1"/>
  <c r="L10" i="19" s="1"/>
  <c r="L26" i="46" s="1"/>
  <c r="L62" i="19"/>
  <c r="L77" i="19"/>
  <c r="L9" i="19" s="1"/>
  <c r="L25" i="46" s="1"/>
  <c r="P117" i="19"/>
  <c r="P138" i="19" s="1"/>
  <c r="L68" i="19"/>
  <c r="J101" i="19"/>
  <c r="J10" i="19" s="1"/>
  <c r="J26" i="46" s="1"/>
  <c r="J58" i="19"/>
  <c r="J8" i="19" s="1"/>
  <c r="J24" i="46" s="1"/>
  <c r="P75" i="19"/>
  <c r="P68" i="19" s="1"/>
  <c r="J86" i="19"/>
  <c r="J46" i="19"/>
  <c r="K75" i="19"/>
  <c r="K62" i="19" s="1"/>
  <c r="R92" i="19"/>
  <c r="R89" i="19"/>
  <c r="K92" i="19"/>
  <c r="K89" i="19"/>
  <c r="K86" i="19"/>
  <c r="G92" i="19"/>
  <c r="G89" i="19"/>
  <c r="G86" i="19"/>
  <c r="P92" i="19"/>
  <c r="P89" i="19"/>
  <c r="P86" i="19"/>
  <c r="Q68" i="19"/>
  <c r="Q65" i="19"/>
  <c r="Q62" i="19"/>
  <c r="H68" i="19"/>
  <c r="H65" i="19"/>
  <c r="H62" i="19"/>
  <c r="M49" i="19"/>
  <c r="M46" i="19"/>
  <c r="M43" i="19"/>
  <c r="Q77" i="19"/>
  <c r="Q9" i="19" s="1"/>
  <c r="Q25" i="46" s="1"/>
  <c r="D75" i="19"/>
  <c r="D96" i="19"/>
  <c r="O49" i="19"/>
  <c r="O46" i="19"/>
  <c r="O43" i="19"/>
  <c r="R46" i="19"/>
  <c r="R43" i="19"/>
  <c r="R49" i="19"/>
  <c r="P10" i="19"/>
  <c r="P26" i="46" s="1"/>
  <c r="F75" i="19"/>
  <c r="F96" i="19"/>
  <c r="F99" i="19" s="1"/>
  <c r="O75" i="19"/>
  <c r="O96" i="19"/>
  <c r="O99" i="19" s="1"/>
  <c r="C75" i="19"/>
  <c r="C96" i="19"/>
  <c r="G117" i="19"/>
  <c r="M75" i="19"/>
  <c r="M96" i="19"/>
  <c r="M99" i="19" s="1"/>
  <c r="N75" i="19"/>
  <c r="N96" i="19"/>
  <c r="N99" i="19" s="1"/>
  <c r="R75" i="19"/>
  <c r="O58" i="19"/>
  <c r="O8" i="19" s="1"/>
  <c r="O24" i="46" s="1"/>
  <c r="E75" i="19"/>
  <c r="E96" i="19"/>
  <c r="E99" i="19" s="1"/>
  <c r="R58" i="19"/>
  <c r="R8" i="19" s="1"/>
  <c r="R24" i="46" s="1"/>
  <c r="H77" i="19"/>
  <c r="H9" i="19" s="1"/>
  <c r="H25" i="46" s="1"/>
  <c r="M58" i="19"/>
  <c r="M8" i="19" s="1"/>
  <c r="M24" i="46" s="1"/>
  <c r="K117" i="19"/>
  <c r="I101" i="19" l="1"/>
  <c r="I10" i="19" s="1"/>
  <c r="I26" i="46" s="1"/>
  <c r="I86" i="19"/>
  <c r="I117" i="19"/>
  <c r="I120" i="19" s="1"/>
  <c r="I107" i="19" s="1"/>
  <c r="I89" i="19"/>
  <c r="H117" i="19"/>
  <c r="H120" i="19" s="1"/>
  <c r="H86" i="19"/>
  <c r="H89" i="19"/>
  <c r="J107" i="19"/>
  <c r="Q89" i="19"/>
  <c r="Q86" i="19"/>
  <c r="J138" i="19"/>
  <c r="J141" i="19" s="1"/>
  <c r="J128" i="19" s="1"/>
  <c r="J110" i="19"/>
  <c r="J122" i="19"/>
  <c r="J11" i="19" s="1"/>
  <c r="J27" i="46" s="1"/>
  <c r="L86" i="19"/>
  <c r="Q101" i="19"/>
  <c r="Q10" i="19" s="1"/>
  <c r="Q26" i="46" s="1"/>
  <c r="L89" i="19"/>
  <c r="L92" i="19"/>
  <c r="Q92" i="19"/>
  <c r="K68" i="19"/>
  <c r="Q117" i="19"/>
  <c r="Q120" i="19" s="1"/>
  <c r="Q107" i="19" s="1"/>
  <c r="P120" i="19"/>
  <c r="P113" i="19" s="1"/>
  <c r="K77" i="19"/>
  <c r="K9" i="19" s="1"/>
  <c r="K25" i="46" s="1"/>
  <c r="L117" i="19"/>
  <c r="L138" i="19" s="1"/>
  <c r="L159" i="19" s="1"/>
  <c r="K65" i="19"/>
  <c r="P62" i="19"/>
  <c r="P77" i="19"/>
  <c r="P9" i="19" s="1"/>
  <c r="P25" i="46" s="1"/>
  <c r="P65" i="19"/>
  <c r="C99" i="19"/>
  <c r="C92" i="19" s="1"/>
  <c r="C117" i="19"/>
  <c r="E92" i="19"/>
  <c r="E89" i="19"/>
  <c r="E86" i="19"/>
  <c r="F89" i="19"/>
  <c r="F92" i="19"/>
  <c r="F86" i="19"/>
  <c r="M92" i="19"/>
  <c r="M89" i="19"/>
  <c r="M86" i="19"/>
  <c r="N86" i="19"/>
  <c r="N89" i="19"/>
  <c r="N92" i="19"/>
  <c r="O86" i="19"/>
  <c r="O89" i="19"/>
  <c r="O92" i="19"/>
  <c r="M68" i="19"/>
  <c r="M65" i="19"/>
  <c r="M62" i="19"/>
  <c r="R68" i="19"/>
  <c r="R65" i="19"/>
  <c r="R62" i="19"/>
  <c r="C68" i="19"/>
  <c r="C65" i="19"/>
  <c r="C62" i="19"/>
  <c r="F62" i="19"/>
  <c r="F68" i="19"/>
  <c r="F65" i="19"/>
  <c r="D68" i="19"/>
  <c r="D65" i="19"/>
  <c r="D62" i="19"/>
  <c r="E68" i="19"/>
  <c r="E65" i="19"/>
  <c r="E62" i="19"/>
  <c r="N65" i="19"/>
  <c r="N62" i="19"/>
  <c r="N68" i="19"/>
  <c r="O62" i="19"/>
  <c r="O65" i="19"/>
  <c r="O68" i="19"/>
  <c r="D77" i="19"/>
  <c r="D9" i="19" s="1"/>
  <c r="D25" i="46" s="1"/>
  <c r="D99" i="19"/>
  <c r="D117" i="19"/>
  <c r="F117" i="19"/>
  <c r="F77" i="19"/>
  <c r="F9" i="19" s="1"/>
  <c r="F25" i="46" s="1"/>
  <c r="G101" i="19"/>
  <c r="G10" i="19" s="1"/>
  <c r="G26" i="46" s="1"/>
  <c r="N77" i="19"/>
  <c r="N9" i="19" s="1"/>
  <c r="N25" i="46" s="1"/>
  <c r="P141" i="19"/>
  <c r="P159" i="19"/>
  <c r="C77" i="19"/>
  <c r="C9" i="19" s="1"/>
  <c r="C25" i="46" s="1"/>
  <c r="O117" i="19"/>
  <c r="N117" i="19"/>
  <c r="O77" i="19"/>
  <c r="O9" i="19" s="1"/>
  <c r="O25" i="46" s="1"/>
  <c r="R117" i="19"/>
  <c r="M117" i="19"/>
  <c r="K101" i="19"/>
  <c r="K10" i="19" s="1"/>
  <c r="K26" i="46" s="1"/>
  <c r="E77" i="19"/>
  <c r="E9" i="19" s="1"/>
  <c r="E25" i="46" s="1"/>
  <c r="G120" i="19"/>
  <c r="G138" i="19"/>
  <c r="K138" i="19"/>
  <c r="K120" i="19"/>
  <c r="E117" i="19"/>
  <c r="R77" i="19"/>
  <c r="R9" i="19" s="1"/>
  <c r="R25" i="46" s="1"/>
  <c r="M77" i="19"/>
  <c r="M9" i="19" s="1"/>
  <c r="M25" i="46" s="1"/>
  <c r="H101" i="19"/>
  <c r="H10" i="19" s="1"/>
  <c r="H26" i="46" s="1"/>
  <c r="I122" i="19" l="1"/>
  <c r="I11" i="19" s="1"/>
  <c r="I27" i="46" s="1"/>
  <c r="I110" i="19"/>
  <c r="I113" i="19"/>
  <c r="I138" i="19"/>
  <c r="I159" i="19" s="1"/>
  <c r="H138" i="19"/>
  <c r="H141" i="19" s="1"/>
  <c r="J159" i="19"/>
  <c r="J162" i="19" s="1"/>
  <c r="J155" i="19" s="1"/>
  <c r="J131" i="19"/>
  <c r="J134" i="19"/>
  <c r="J143" i="19"/>
  <c r="J12" i="19" s="1"/>
  <c r="J28" i="46" s="1"/>
  <c r="Q113" i="19"/>
  <c r="P107" i="19"/>
  <c r="P122" i="19"/>
  <c r="P11" i="19" s="1"/>
  <c r="P27" i="46" s="1"/>
  <c r="P110" i="19"/>
  <c r="Q110" i="19"/>
  <c r="L141" i="19"/>
  <c r="L143" i="19" s="1"/>
  <c r="L12" i="19" s="1"/>
  <c r="L28" i="46" s="1"/>
  <c r="Q138" i="19"/>
  <c r="Q141" i="19" s="1"/>
  <c r="Q143" i="19" s="1"/>
  <c r="Q12" i="19" s="1"/>
  <c r="Q28" i="46" s="1"/>
  <c r="Q122" i="19"/>
  <c r="Q11" i="19" s="1"/>
  <c r="Q27" i="46" s="1"/>
  <c r="L120" i="19"/>
  <c r="L113" i="19" s="1"/>
  <c r="C86" i="19"/>
  <c r="C89" i="19"/>
  <c r="K113" i="19"/>
  <c r="K110" i="19"/>
  <c r="K107" i="19"/>
  <c r="H110" i="19"/>
  <c r="H107" i="19"/>
  <c r="H113" i="19"/>
  <c r="G113" i="19"/>
  <c r="G110" i="19"/>
  <c r="G107" i="19"/>
  <c r="P134" i="19"/>
  <c r="P131" i="19"/>
  <c r="P128" i="19"/>
  <c r="D92" i="19"/>
  <c r="D89" i="19"/>
  <c r="D86" i="19"/>
  <c r="D101" i="19"/>
  <c r="D10" i="19" s="1"/>
  <c r="D26" i="46" s="1"/>
  <c r="D120" i="19"/>
  <c r="D138" i="19"/>
  <c r="F138" i="19"/>
  <c r="F120" i="19"/>
  <c r="F101" i="19"/>
  <c r="F10" i="19" s="1"/>
  <c r="F26" i="46" s="1"/>
  <c r="K122" i="19"/>
  <c r="K11" i="19" s="1"/>
  <c r="K27" i="46" s="1"/>
  <c r="K159" i="19"/>
  <c r="K141" i="19"/>
  <c r="H122" i="19"/>
  <c r="H11" i="19" s="1"/>
  <c r="H27" i="46" s="1"/>
  <c r="O101" i="19"/>
  <c r="O10" i="19" s="1"/>
  <c r="O26" i="46" s="1"/>
  <c r="G141" i="19"/>
  <c r="G159" i="19"/>
  <c r="O120" i="19"/>
  <c r="O138" i="19"/>
  <c r="M101" i="19"/>
  <c r="M10" i="19" s="1"/>
  <c r="M26" i="46" s="1"/>
  <c r="E138" i="19"/>
  <c r="E120" i="19"/>
  <c r="P162" i="19"/>
  <c r="P178" i="19"/>
  <c r="P181" i="19" s="1"/>
  <c r="E101" i="19"/>
  <c r="E10" i="19" s="1"/>
  <c r="E26" i="46" s="1"/>
  <c r="R101" i="19"/>
  <c r="R10" i="19" s="1"/>
  <c r="R26" i="46" s="1"/>
  <c r="L162" i="19"/>
  <c r="L178" i="19"/>
  <c r="L181" i="19" s="1"/>
  <c r="P143" i="19"/>
  <c r="P12" i="19" s="1"/>
  <c r="P28" i="46" s="1"/>
  <c r="C120" i="19"/>
  <c r="C138" i="19"/>
  <c r="G122" i="19"/>
  <c r="G11" i="19" s="1"/>
  <c r="G27" i="46" s="1"/>
  <c r="C101" i="19"/>
  <c r="C10" i="19" s="1"/>
  <c r="C26" i="46" s="1"/>
  <c r="N120" i="19"/>
  <c r="N138" i="19"/>
  <c r="N101" i="19"/>
  <c r="N10" i="19" s="1"/>
  <c r="N26" i="46" s="1"/>
  <c r="M120" i="19"/>
  <c r="M138" i="19"/>
  <c r="R120" i="19"/>
  <c r="R138" i="19"/>
  <c r="I141" i="19" l="1"/>
  <c r="I134" i="19" s="1"/>
  <c r="J164" i="19"/>
  <c r="J13" i="19" s="1"/>
  <c r="J29" i="46" s="1"/>
  <c r="J178" i="19"/>
  <c r="J181" i="19" s="1"/>
  <c r="J183" i="19" s="1"/>
  <c r="J14" i="19" s="1"/>
  <c r="J30" i="46" s="1"/>
  <c r="H159" i="19"/>
  <c r="H178" i="19" s="1"/>
  <c r="H181" i="19" s="1"/>
  <c r="J149" i="19"/>
  <c r="J152" i="19"/>
  <c r="L122" i="19"/>
  <c r="L11" i="19" s="1"/>
  <c r="L27" i="46" s="1"/>
  <c r="L110" i="19"/>
  <c r="L107" i="19"/>
  <c r="L134" i="19"/>
  <c r="L128" i="19"/>
  <c r="L131" i="19"/>
  <c r="Q159" i="19"/>
  <c r="Q131" i="19"/>
  <c r="Q128" i="19"/>
  <c r="Q134" i="19"/>
  <c r="C107" i="19"/>
  <c r="C110" i="19"/>
  <c r="C113" i="19"/>
  <c r="P174" i="19"/>
  <c r="P171" i="19"/>
  <c r="P168" i="19"/>
  <c r="L174" i="19"/>
  <c r="L171" i="19"/>
  <c r="L168" i="19"/>
  <c r="P155" i="19"/>
  <c r="P152" i="19"/>
  <c r="P149" i="19"/>
  <c r="L152" i="19"/>
  <c r="L149" i="19"/>
  <c r="L155" i="19"/>
  <c r="R113" i="19"/>
  <c r="R110" i="19"/>
  <c r="R107" i="19"/>
  <c r="F107" i="19"/>
  <c r="F110" i="19"/>
  <c r="F113" i="19"/>
  <c r="M107" i="19"/>
  <c r="M113" i="19"/>
  <c r="M110" i="19"/>
  <c r="O113" i="19"/>
  <c r="O107" i="19"/>
  <c r="O110" i="19"/>
  <c r="N113" i="19"/>
  <c r="N110" i="19"/>
  <c r="N107" i="19"/>
  <c r="E113" i="19"/>
  <c r="E110" i="19"/>
  <c r="E107" i="19"/>
  <c r="D113" i="19"/>
  <c r="D110" i="19"/>
  <c r="D107" i="19"/>
  <c r="H134" i="19"/>
  <c r="H131" i="19"/>
  <c r="H128" i="19"/>
  <c r="I131" i="19"/>
  <c r="I128" i="19"/>
  <c r="G134" i="19"/>
  <c r="G131" i="19"/>
  <c r="G128" i="19"/>
  <c r="K134" i="19"/>
  <c r="K131" i="19"/>
  <c r="K128" i="19"/>
  <c r="I143" i="19"/>
  <c r="I12" i="19" s="1"/>
  <c r="I28" i="46" s="1"/>
  <c r="I162" i="19"/>
  <c r="I178" i="19"/>
  <c r="I181" i="19" s="1"/>
  <c r="D122" i="19"/>
  <c r="D11" i="19" s="1"/>
  <c r="D27" i="46" s="1"/>
  <c r="D159" i="19"/>
  <c r="D141" i="19"/>
  <c r="F122" i="19"/>
  <c r="F11" i="19" s="1"/>
  <c r="F27" i="46" s="1"/>
  <c r="F159" i="19"/>
  <c r="F141" i="19"/>
  <c r="C141" i="19"/>
  <c r="C159" i="19"/>
  <c r="E141" i="19"/>
  <c r="E134" i="19" s="1"/>
  <c r="E159" i="19"/>
  <c r="M141" i="19"/>
  <c r="M159" i="19"/>
  <c r="P164" i="19"/>
  <c r="P13" i="19" s="1"/>
  <c r="P29" i="46" s="1"/>
  <c r="L183" i="19"/>
  <c r="L14" i="19" s="1"/>
  <c r="L30" i="46" s="1"/>
  <c r="R141" i="19"/>
  <c r="R159" i="19"/>
  <c r="N141" i="19"/>
  <c r="N159" i="19"/>
  <c r="L164" i="19"/>
  <c r="L13" i="19" s="1"/>
  <c r="L29" i="46" s="1"/>
  <c r="O122" i="19"/>
  <c r="O11" i="19" s="1"/>
  <c r="O27" i="46" s="1"/>
  <c r="N122" i="19"/>
  <c r="N11" i="19" s="1"/>
  <c r="N27" i="46" s="1"/>
  <c r="G162" i="19"/>
  <c r="G178" i="19"/>
  <c r="G181" i="19" s="1"/>
  <c r="M122" i="19"/>
  <c r="M11" i="19" s="1"/>
  <c r="M27" i="46" s="1"/>
  <c r="H143" i="19"/>
  <c r="H12" i="19" s="1"/>
  <c r="H28" i="46" s="1"/>
  <c r="P183" i="19"/>
  <c r="P14" i="19" s="1"/>
  <c r="P30" i="46" s="1"/>
  <c r="R122" i="19"/>
  <c r="R11" i="19" s="1"/>
  <c r="R27" i="46" s="1"/>
  <c r="K143" i="19"/>
  <c r="K12" i="19" s="1"/>
  <c r="K28" i="46" s="1"/>
  <c r="C122" i="19"/>
  <c r="C11" i="19" s="1"/>
  <c r="C27" i="46" s="1"/>
  <c r="K178" i="19"/>
  <c r="K181" i="19" s="1"/>
  <c r="K162" i="19"/>
  <c r="E122" i="19"/>
  <c r="E11" i="19" s="1"/>
  <c r="E27" i="46" s="1"/>
  <c r="G143" i="19"/>
  <c r="G12" i="19" s="1"/>
  <c r="G28" i="46" s="1"/>
  <c r="O141" i="19"/>
  <c r="O159" i="19"/>
  <c r="J168" i="19" l="1"/>
  <c r="J171" i="19"/>
  <c r="H162" i="19"/>
  <c r="H149" i="19" s="1"/>
  <c r="J174" i="19"/>
  <c r="Q178" i="19"/>
  <c r="Q181" i="19" s="1"/>
  <c r="Q162" i="19"/>
  <c r="K174" i="19"/>
  <c r="K171" i="19"/>
  <c r="K168" i="19"/>
  <c r="G174" i="19"/>
  <c r="G171" i="19"/>
  <c r="G168" i="19"/>
  <c r="H174" i="19"/>
  <c r="H171" i="19"/>
  <c r="H168" i="19"/>
  <c r="I183" i="19"/>
  <c r="I14" i="19" s="1"/>
  <c r="I30" i="46" s="1"/>
  <c r="I174" i="19"/>
  <c r="I171" i="19"/>
  <c r="I168" i="19"/>
  <c r="K155" i="19"/>
  <c r="K152" i="19"/>
  <c r="K149" i="19"/>
  <c r="I164" i="19"/>
  <c r="I13" i="19" s="1"/>
  <c r="I29" i="46" s="1"/>
  <c r="I155" i="19"/>
  <c r="I152" i="19"/>
  <c r="I149" i="19"/>
  <c r="G149" i="19"/>
  <c r="G155" i="19"/>
  <c r="G152" i="19"/>
  <c r="C134" i="19"/>
  <c r="C131" i="19"/>
  <c r="C128" i="19"/>
  <c r="N134" i="19"/>
  <c r="N131" i="19"/>
  <c r="N128" i="19"/>
  <c r="M134" i="19"/>
  <c r="M131" i="19"/>
  <c r="M128" i="19"/>
  <c r="O134" i="19"/>
  <c r="O131" i="19"/>
  <c r="O128" i="19"/>
  <c r="D134" i="19"/>
  <c r="D131" i="19"/>
  <c r="D128" i="19"/>
  <c r="R134" i="19"/>
  <c r="R131" i="19"/>
  <c r="R128" i="19"/>
  <c r="E131" i="19"/>
  <c r="E128" i="19"/>
  <c r="F134" i="19"/>
  <c r="F131" i="19"/>
  <c r="F128" i="19"/>
  <c r="D143" i="19"/>
  <c r="D12" i="19" s="1"/>
  <c r="D28" i="46" s="1"/>
  <c r="D178" i="19"/>
  <c r="D181" i="19" s="1"/>
  <c r="D162" i="19"/>
  <c r="F143" i="19"/>
  <c r="F12" i="19" s="1"/>
  <c r="F28" i="46" s="1"/>
  <c r="F162" i="19"/>
  <c r="F178" i="19"/>
  <c r="F181" i="19" s="1"/>
  <c r="M162" i="19"/>
  <c r="M178" i="19"/>
  <c r="M181" i="19" s="1"/>
  <c r="G183" i="19"/>
  <c r="G14" i="19" s="1"/>
  <c r="G30" i="46" s="1"/>
  <c r="G164" i="19"/>
  <c r="G13" i="19" s="1"/>
  <c r="G29" i="46" s="1"/>
  <c r="C143" i="19"/>
  <c r="C12" i="19" s="1"/>
  <c r="C28" i="46" s="1"/>
  <c r="N162" i="19"/>
  <c r="N178" i="19"/>
  <c r="N181" i="19" s="1"/>
  <c r="H183" i="19"/>
  <c r="H14" i="19" s="1"/>
  <c r="H30" i="46" s="1"/>
  <c r="O162" i="19"/>
  <c r="O178" i="19"/>
  <c r="O181" i="19" s="1"/>
  <c r="E162" i="19"/>
  <c r="E178" i="19"/>
  <c r="E181" i="19" s="1"/>
  <c r="O143" i="19"/>
  <c r="O12" i="19" s="1"/>
  <c r="O28" i="46" s="1"/>
  <c r="E143" i="19"/>
  <c r="E12" i="19" s="1"/>
  <c r="E28" i="46" s="1"/>
  <c r="N143" i="19"/>
  <c r="N12" i="19" s="1"/>
  <c r="N28" i="46" s="1"/>
  <c r="K183" i="19"/>
  <c r="K14" i="19" s="1"/>
  <c r="K30" i="46" s="1"/>
  <c r="M143" i="19"/>
  <c r="M12" i="19" s="1"/>
  <c r="M28" i="46" s="1"/>
  <c r="C162" i="19"/>
  <c r="C178" i="19"/>
  <c r="C181" i="19" s="1"/>
  <c r="K164" i="19"/>
  <c r="K13" i="19" s="1"/>
  <c r="K29" i="46" s="1"/>
  <c r="R162" i="19"/>
  <c r="R178" i="19"/>
  <c r="R181" i="19" s="1"/>
  <c r="R143" i="19"/>
  <c r="R12" i="19" s="1"/>
  <c r="R28" i="46" s="1"/>
  <c r="H164" i="19" l="1"/>
  <c r="H13" i="19" s="1"/>
  <c r="H29" i="46" s="1"/>
  <c r="H155" i="19"/>
  <c r="H152" i="19"/>
  <c r="Q152" i="19"/>
  <c r="Q155" i="19"/>
  <c r="Q149" i="19"/>
  <c r="Q164" i="19"/>
  <c r="Q13" i="19" s="1"/>
  <c r="Q29" i="46" s="1"/>
  <c r="Q171" i="19"/>
  <c r="Q168" i="19"/>
  <c r="Q183" i="19"/>
  <c r="Q14" i="19" s="1"/>
  <c r="Q30" i="46" s="1"/>
  <c r="Q174" i="19"/>
  <c r="F168" i="19"/>
  <c r="F174" i="19"/>
  <c r="F171" i="19"/>
  <c r="C174" i="19"/>
  <c r="C171" i="19"/>
  <c r="C168" i="19"/>
  <c r="M171" i="19"/>
  <c r="M168" i="19"/>
  <c r="M174" i="19"/>
  <c r="D171" i="19"/>
  <c r="D168" i="19"/>
  <c r="D174" i="19"/>
  <c r="E174" i="19"/>
  <c r="E171" i="19"/>
  <c r="E168" i="19"/>
  <c r="N168" i="19"/>
  <c r="N171" i="19"/>
  <c r="N174" i="19"/>
  <c r="O174" i="19"/>
  <c r="O171" i="19"/>
  <c r="O168" i="19"/>
  <c r="R174" i="19"/>
  <c r="R171" i="19"/>
  <c r="R168" i="19"/>
  <c r="D149" i="19"/>
  <c r="D155" i="19"/>
  <c r="D152" i="19"/>
  <c r="R155" i="19"/>
  <c r="R152" i="19"/>
  <c r="R149" i="19"/>
  <c r="F152" i="19"/>
  <c r="F155" i="19"/>
  <c r="F149" i="19"/>
  <c r="N155" i="19"/>
  <c r="N149" i="19"/>
  <c r="N152" i="19"/>
  <c r="E152" i="19"/>
  <c r="E155" i="19"/>
  <c r="E149" i="19"/>
  <c r="C155" i="19"/>
  <c r="C152" i="19"/>
  <c r="C149" i="19"/>
  <c r="O155" i="19"/>
  <c r="O152" i="19"/>
  <c r="O149" i="19"/>
  <c r="M149" i="19"/>
  <c r="M155" i="19"/>
  <c r="M152" i="19"/>
  <c r="D183" i="19"/>
  <c r="D14" i="19" s="1"/>
  <c r="D30" i="46" s="1"/>
  <c r="D164" i="19"/>
  <c r="D13" i="19" s="1"/>
  <c r="D29" i="46" s="1"/>
  <c r="F183" i="19"/>
  <c r="F14" i="19" s="1"/>
  <c r="F30" i="46" s="1"/>
  <c r="F164" i="19"/>
  <c r="F13" i="19" s="1"/>
  <c r="F29" i="46" s="1"/>
  <c r="R164" i="19"/>
  <c r="R13" i="19" s="1"/>
  <c r="R29" i="46" s="1"/>
  <c r="N183" i="19"/>
  <c r="N14" i="19" s="1"/>
  <c r="N30" i="46" s="1"/>
  <c r="C183" i="19"/>
  <c r="C14" i="19" s="1"/>
  <c r="C30" i="46" s="1"/>
  <c r="O164" i="19"/>
  <c r="O13" i="19" s="1"/>
  <c r="O29" i="46" s="1"/>
  <c r="M164" i="19"/>
  <c r="M13" i="19" s="1"/>
  <c r="M29" i="46" s="1"/>
  <c r="C164" i="19"/>
  <c r="C13" i="19" s="1"/>
  <c r="C29" i="46" s="1"/>
  <c r="E164" i="19"/>
  <c r="E13" i="19" s="1"/>
  <c r="E29" i="46" s="1"/>
  <c r="O183" i="19"/>
  <c r="O14" i="19" s="1"/>
  <c r="O30" i="46" s="1"/>
  <c r="M183" i="19"/>
  <c r="M14" i="19" s="1"/>
  <c r="M30" i="46" s="1"/>
  <c r="R183" i="19"/>
  <c r="R14" i="19" s="1"/>
  <c r="R30" i="46" s="1"/>
  <c r="N164" i="19"/>
  <c r="N13" i="19" s="1"/>
  <c r="N29" i="46" s="1"/>
  <c r="E183" i="19"/>
  <c r="E14" i="19" s="1"/>
  <c r="E30" i="46" s="1"/>
  <c r="X16" i="19" l="1"/>
  <c r="G20" i="46" s="1"/>
</calcChain>
</file>

<file path=xl/sharedStrings.xml><?xml version="1.0" encoding="utf-8"?>
<sst xmlns="http://schemas.openxmlformats.org/spreadsheetml/2006/main" count="1392" uniqueCount="160">
  <si>
    <t>Eastside Diversion</t>
  </si>
  <si>
    <t>WWRID/HBDIC Diversions</t>
  </si>
  <si>
    <t>Pine/Dry creek inflow</t>
  </si>
  <si>
    <t>Yellowhawk Creek inflow (2014-2015 est.)</t>
  </si>
  <si>
    <t>Diversion Total</t>
  </si>
  <si>
    <t>Flow Input 1</t>
  </si>
  <si>
    <t>Flow Input 2</t>
  </si>
  <si>
    <r>
      <t>Post-Input Surplus/</t>
    </r>
    <r>
      <rPr>
        <sz val="11"/>
        <color rgb="FFFF0000"/>
        <rFont val="Calibri"/>
        <family val="2"/>
        <scheme val="minor"/>
      </rPr>
      <t>(Deficit)</t>
    </r>
  </si>
  <si>
    <t>Target Flow</t>
  </si>
  <si>
    <t>Target Flow Deficit (Mgt. Pt. 1)</t>
  </si>
  <si>
    <t>Target Flow Deficit (Mgt. Pt. 2)</t>
  </si>
  <si>
    <t>GFID Diversion Total</t>
  </si>
  <si>
    <t>Target Flow Deficit (Mgt. Pt. 3)</t>
  </si>
  <si>
    <t>Target Flow Deficit (Mgt. Pt. 4)</t>
  </si>
  <si>
    <t>Target Flow Deficit (Mgt. Pt. 5)</t>
  </si>
  <si>
    <t>Target Flow Deficit (Mgt. Pt. 6)</t>
  </si>
  <si>
    <t>Target Flow Deficit (Mgt. Pt. 7)</t>
  </si>
  <si>
    <t>Target Flow Deficit (Mgt. Pt. 8)</t>
  </si>
  <si>
    <t>L4 Diversion Total</t>
  </si>
  <si>
    <t>Input Subtotal (Mgt. Pt. 1)</t>
  </si>
  <si>
    <t>Total Adjusted Input Flow</t>
  </si>
  <si>
    <t>Input Subtotal (Mgt. Pt. 2)</t>
  </si>
  <si>
    <t>Input Subtotal (Mgt. Pt. 3)</t>
  </si>
  <si>
    <t>Input Subtotal (Mgt. Pt. 4)</t>
  </si>
  <si>
    <t>Input Subtotal (Mgt. Pt. 5)</t>
  </si>
  <si>
    <t>Input Subtotal (Mgt. Pt. 6)</t>
  </si>
  <si>
    <t>Input Subtotal (Mgt. Pt. 7)</t>
  </si>
  <si>
    <t>Input Subtotal (Mgt. Pt. 8)</t>
  </si>
  <si>
    <t>Stream Gain/Loss Adjustment</t>
  </si>
  <si>
    <t>APRIL</t>
  </si>
  <si>
    <t>MAY</t>
  </si>
  <si>
    <t>JUNE</t>
  </si>
  <si>
    <t>JULY</t>
  </si>
  <si>
    <t>AUGUST</t>
  </si>
  <si>
    <t>SEPTEMBER</t>
  </si>
  <si>
    <t>OCTOBER</t>
  </si>
  <si>
    <t>Milton-Freewater flow plus total adjusted input</t>
  </si>
  <si>
    <t>NBD flow plus total adjusted input</t>
  </si>
  <si>
    <t>Pepper Bridge flow plus total adjusted input</t>
  </si>
  <si>
    <t>Beet Rd. flow plus total adjusted input</t>
  </si>
  <si>
    <t>Detour Rd. flow plus total adjusted input</t>
  </si>
  <si>
    <t>McDonald Rd. flow plus total adjusted input</t>
  </si>
  <si>
    <t>Pierce RV flow plus total adjusted input</t>
  </si>
  <si>
    <t>Milton-Freewater (Mgt. Pt. 1)</t>
  </si>
  <si>
    <t>Nursery Bridge (Mgt. Pt. 2)</t>
  </si>
  <si>
    <t>Pepper Bridge (Mgt. Pt. 3)</t>
  </si>
  <si>
    <t>Beet Rd. (Mgt. Pt. 4)</t>
  </si>
  <si>
    <t>Detour Rd. (Mgt. Pt. 5)</t>
  </si>
  <si>
    <t>McDonald Rd. (Mgt. Pt. 6)</t>
  </si>
  <si>
    <t>Pierce RV (Mgt. Pt. 8)</t>
  </si>
  <si>
    <t>REACH ABOVE MILTON-FREEWATER</t>
  </si>
  <si>
    <t>Touchet Confluence flow plus total adjusted input</t>
  </si>
  <si>
    <t>Flow at Milton-Freewater S-105 (Mgt. Pt. 1)</t>
  </si>
  <si>
    <t>Flow @ NBD S-106 (Mgt. Pt. 2)*</t>
  </si>
  <si>
    <t>Flow @ Pepper Bridge S-108 (Mgt. Pt. 3)</t>
  </si>
  <si>
    <t>Flow @ Beet Rd. S-109 (Mgt. Pt. 4)</t>
  </si>
  <si>
    <t xml:space="preserve">Flow @ Detour Rd. S-110 (Mgt. Pt. 5) </t>
  </si>
  <si>
    <t>Flow @ McDonald Rd. S-119 (Mgt. Pt. 6)</t>
  </si>
  <si>
    <t>Flow @ Touchet Confluence S-111 (Mgt. Pt. 7)</t>
  </si>
  <si>
    <t>Flow @ Pierce RV S-125 (Mgt. Pt. 8)</t>
  </si>
  <si>
    <t>Flow Input 3</t>
  </si>
  <si>
    <t>PEPPER BRIDGE TO BEET ROAD REACH</t>
  </si>
  <si>
    <t>TOUCHET CONFLUENCE TO PIERCE RV REACH</t>
  </si>
  <si>
    <t>NURSERY BRIDGE TO PEPPER BRIDGE REACH</t>
  </si>
  <si>
    <t>MILTON-FREEWATER TO NURSERY BRIDGE REACH</t>
  </si>
  <si>
    <t>BEET ROAD TO DETOUR ROAD REACH</t>
  </si>
  <si>
    <t>DETOUR ROAD TO MCDONALD ROAD REACH</t>
  </si>
  <si>
    <t>MCDONALD ROAD TO TOUCHET CONFLUENCE REACH</t>
  </si>
  <si>
    <t>WALLA WALLA RIVER MODEL</t>
  </si>
  <si>
    <r>
      <t>Stream Gain/</t>
    </r>
    <r>
      <rPr>
        <b/>
        <sz val="11"/>
        <color rgb="FFFF0000"/>
        <rFont val="Calibri"/>
        <family val="2"/>
        <scheme val="minor"/>
      </rPr>
      <t>Loss</t>
    </r>
    <r>
      <rPr>
        <b/>
        <sz val="11"/>
        <rFont val="Calibri"/>
        <family val="2"/>
        <scheme val="minor"/>
      </rPr>
      <t xml:space="preserve"> Adjustment</t>
    </r>
  </si>
  <si>
    <t>Touchet Confluence (Mgt. Pt. 7)</t>
  </si>
  <si>
    <t>Flow input above Mgt. Pt. 1</t>
  </si>
  <si>
    <t>Flow target surplus or deficit after input</t>
  </si>
  <si>
    <t>Flow gage data plus cumulative inputs adjusted for streambed loss or gain</t>
  </si>
  <si>
    <t>Target flows</t>
  </si>
  <si>
    <t>Deficit between target flows and flow gage data plus total adjusted inputs</t>
  </si>
  <si>
    <t>Flow input between Mgt. Pt. 3 and Mgt. Pt. 4</t>
  </si>
  <si>
    <t>Flow input between Mgt. Pt. 2 and Mgt. Pt. 3</t>
  </si>
  <si>
    <t>Flow input between Mgt. Pt. 1 and Mgt. Pt. 2</t>
  </si>
  <si>
    <t>Flow input between Mgt. Pt. 4 and Mgt. Pt. 5</t>
  </si>
  <si>
    <t>Flow input between Mgt. Pt. 5 and Mgt. Pt. 6</t>
  </si>
  <si>
    <t>Flow input between Mgt. Pt. 6 and Mgt. Pt. 7</t>
  </si>
  <si>
    <t>Flow input between Mgt. Pt. 7 and Mgt. Pt. 8</t>
  </si>
  <si>
    <t>Median flow data at S-125 gage (2013-2016)</t>
  </si>
  <si>
    <t>Median flow data at S-111 gage (1951-2016)</t>
  </si>
  <si>
    <t>Median flow data at S-119 gage (2013-2016)</t>
  </si>
  <si>
    <t>Median flow data at S-109 gage (2002-2016)</t>
  </si>
  <si>
    <t>Median flow data at S-108 gage (2004-2016)</t>
  </si>
  <si>
    <t>Median flow data at S-106 gage (2002-2016; April - May estimated)</t>
  </si>
  <si>
    <t>Median flow data at S-110 gage (2002-2016)</t>
  </si>
  <si>
    <t>Median flow data at S-105 gage (2002-2016)</t>
  </si>
  <si>
    <t>Subtotal of all inputs in reach above Milton-Freewater</t>
  </si>
  <si>
    <t>Subtotal of all inputs in Milton-Freewater to Nursery Bridge reach</t>
  </si>
  <si>
    <t>Subtotal of all inputs in Nursery Bridge to Pepper Bridge reach</t>
  </si>
  <si>
    <t>Subtotal of all inputs in Pepper Bridge to Beet Road reach</t>
  </si>
  <si>
    <t>Subtotal of all inputs in Beet Road to Detour Road reach</t>
  </si>
  <si>
    <t>Subtotal of all inputs in Detour Road to McDonald Road reach</t>
  </si>
  <si>
    <t>Subtotal of all inputs in McDonald Road to Touchet Confluence reach</t>
  </si>
  <si>
    <t>Subtotal of all inputs in Touchet Confluence to Pierce RV reach</t>
  </si>
  <si>
    <t>Total of all upstream input flow adjusted for streambed loss or gain</t>
  </si>
  <si>
    <t>Estimates for 2014-2015</t>
  </si>
  <si>
    <t>Mill Creek inflow</t>
  </si>
  <si>
    <t>Detour gaging data minus Beet Road gaging data</t>
  </si>
  <si>
    <t>Estimate</t>
  </si>
  <si>
    <t>NOTES</t>
  </si>
  <si>
    <t>NOVEMBER</t>
  </si>
  <si>
    <t>WALLA WALLA RIVER FLOW DEFICIT SUMMARY</t>
  </si>
  <si>
    <t>TARGET FLOWS</t>
  </si>
  <si>
    <t>GFID COLUMBIA EXCHANGE</t>
  </si>
  <si>
    <t>L4 COLUMBIA EXCHANGE</t>
  </si>
  <si>
    <t>Yellowhawk reduced inflow w/GFID exchange</t>
  </si>
  <si>
    <t>WWRID/HBDIC COLUMBIA EXCHANGE</t>
  </si>
  <si>
    <t>WWRID/HBDIC RESERVOIR EXCHANGE</t>
  </si>
  <si>
    <t>L4 RESERVOIR EXCHANGE</t>
  </si>
  <si>
    <r>
      <rPr>
        <b/>
        <i/>
        <sz val="11"/>
        <color theme="1"/>
        <rFont val="Calibri"/>
        <family val="2"/>
        <scheme val="minor"/>
      </rPr>
      <t xml:space="preserve">FLOW BASELINE: </t>
    </r>
    <r>
      <rPr>
        <i/>
        <sz val="11"/>
        <color theme="1"/>
        <rFont val="Calibri"/>
        <family val="2"/>
        <scheme val="minor"/>
      </rPr>
      <t>50% EXCEEDANCE</t>
    </r>
  </si>
  <si>
    <t>Acre-Foot Subtotal</t>
  </si>
  <si>
    <t>GFID RESERVOIR EXCHANGE</t>
  </si>
  <si>
    <r>
      <t>FLOW TARGETS:</t>
    </r>
    <r>
      <rPr>
        <i/>
        <sz val="11"/>
        <color theme="1"/>
        <rFont val="Calibri"/>
        <family val="2"/>
        <scheme val="minor"/>
      </rPr>
      <t xml:space="preserve"> 150/100/65</t>
    </r>
  </si>
  <si>
    <t>TOTAL AF:</t>
  </si>
  <si>
    <t>MILL CREEK/YHC FLOW TRANSFER</t>
  </si>
  <si>
    <t>Mill Creek/YHC Flow Transfer Deficit</t>
  </si>
  <si>
    <r>
      <rPr>
        <b/>
        <i/>
        <sz val="11"/>
        <color theme="1"/>
        <rFont val="Calibri"/>
        <family val="2"/>
        <scheme val="minor"/>
      </rPr>
      <t xml:space="preserve">ALTERNATIVE: </t>
    </r>
    <r>
      <rPr>
        <i/>
        <sz val="11"/>
        <color theme="1"/>
        <rFont val="Calibri"/>
        <family val="2"/>
        <scheme val="minor"/>
      </rPr>
      <t>1. LARGE COLUMBIA EXCHANGE</t>
    </r>
  </si>
  <si>
    <t>(GFID seepage savings assumed with exchange)</t>
  </si>
  <si>
    <t>(WWRID/HBDIC seepage savings assumed with exchange)</t>
  </si>
  <si>
    <t>(L4 seepage savings assumed with exchange)</t>
  </si>
  <si>
    <t>(Assuming seepage savings from WWRID/HBDIC/GFID/L4 piping and 3,000 AF minimum pool)</t>
  </si>
  <si>
    <t>RESERVOIR INSTREAM RELEASE</t>
  </si>
  <si>
    <t>(Assuming seepage savings from WWRID/HBDIC/GFID/L4 piping)</t>
  </si>
  <si>
    <r>
      <rPr>
        <b/>
        <i/>
        <sz val="11"/>
        <color theme="1"/>
        <rFont val="Calibri"/>
        <family val="2"/>
        <scheme val="minor"/>
      </rPr>
      <t xml:space="preserve">ALTERNATIVE: </t>
    </r>
    <r>
      <rPr>
        <i/>
        <sz val="11"/>
        <color theme="1"/>
        <rFont val="Calibri"/>
        <family val="2"/>
        <scheme val="minor"/>
      </rPr>
      <t>BASELINE</t>
    </r>
  </si>
  <si>
    <t>TOTAL VOLUME REQUIRED (AF):</t>
  </si>
  <si>
    <t>LARGE COLUMBIA EXCHANGE (AF):</t>
  </si>
  <si>
    <t>MEDIUM RESERVOIR CAPACITY (AF):</t>
  </si>
  <si>
    <t>TARGET VOLUME DEFICIT (AF):</t>
  </si>
  <si>
    <t>Available Surface Flow above Target</t>
  </si>
  <si>
    <t>Percentage total inputs lost or gained due to streambed hydrology (2002-2015 WWBWC seepage data)</t>
  </si>
  <si>
    <t>Percentage total inputs lost or gained due to streambed hydrology (2002-2015 WWBWC seepage data); estimated current rates halved to reflect assumed seepage reductions from future projects</t>
  </si>
  <si>
    <t>Percentage total inputs lost or gained due to streambed hydrology (2002-2015 WWBWC seepage data); estimated current rates reduced by 10% to reflect assumed seepage reductions from future projects</t>
  </si>
  <si>
    <r>
      <rPr>
        <b/>
        <i/>
        <sz val="11"/>
        <color theme="1"/>
        <rFont val="Calibri"/>
        <family val="2"/>
        <scheme val="minor"/>
      </rPr>
      <t xml:space="preserve">ALTERNATIVE: </t>
    </r>
    <r>
      <rPr>
        <i/>
        <sz val="11"/>
        <color theme="1"/>
        <rFont val="Calibri"/>
        <family val="2"/>
        <scheme val="minor"/>
      </rPr>
      <t>2a. RESERVOIR (26,600 AF ACTIVE STORAGE)</t>
    </r>
  </si>
  <si>
    <r>
      <rPr>
        <b/>
        <i/>
        <sz val="11"/>
        <color theme="1"/>
        <rFont val="Calibri"/>
        <family val="2"/>
        <scheme val="minor"/>
      </rPr>
      <t xml:space="preserve">ALTERNATIVE: </t>
    </r>
    <r>
      <rPr>
        <i/>
        <sz val="11"/>
        <color theme="1"/>
        <rFont val="Calibri"/>
        <family val="2"/>
        <scheme val="minor"/>
      </rPr>
      <t>2b. RESERVOIR (28,600 AF ACTIVE STORAGE)</t>
    </r>
  </si>
  <si>
    <t>WALLA WALLA RIVER FLOW DEFICIT SUMMARY (REDUCED SEEPAGE)</t>
  </si>
  <si>
    <t>Large Columbia Exchange</t>
  </si>
  <si>
    <t>Reservoir Scenarios</t>
  </si>
  <si>
    <t>4. L4 is exchanged if flow deficits occur downstream; spring use is exchanged first, then fall use, then summer use is exchanged if remaining reservoir water supply is sufficient.</t>
  </si>
  <si>
    <t>REMAINING DEFICIT:</t>
  </si>
  <si>
    <t>VOLUME REQUIRED:</t>
  </si>
  <si>
    <t>WALLA WALLA RIVER MODEL OPERATIONAL RULES</t>
  </si>
  <si>
    <t>2. Reservoir water is returned to the Walla Walla River to augment flows where deficits remain downstream of Milton-Freewater but above GFID or L4; spring deficits are addressed first, then fall, then summer deficits are targeted if remaining reservoir water supply is sufficient.</t>
  </si>
  <si>
    <t>3. GFID is exchanged if flow deficits occur downstream of GFID but above L4 during time period in which GFID is diverting; spring use is exchanged first, then fall use if remaining reservoir supply is sufficient.</t>
  </si>
  <si>
    <r>
      <rPr>
        <b/>
        <i/>
        <sz val="11"/>
        <color theme="1"/>
        <rFont val="Calibri"/>
        <family val="2"/>
        <scheme val="minor"/>
      </rPr>
      <t xml:space="preserve">ALTERNATIVE: </t>
    </r>
    <r>
      <rPr>
        <i/>
        <sz val="11"/>
        <color theme="1"/>
        <rFont val="Calibri"/>
        <family val="2"/>
        <scheme val="minor"/>
      </rPr>
      <t>2c. RESERVOIR (30,000 AF ACTIVE STORAGE)</t>
    </r>
  </si>
  <si>
    <r>
      <rPr>
        <b/>
        <i/>
        <sz val="11"/>
        <color theme="1"/>
        <rFont val="Calibri"/>
        <family val="2"/>
        <scheme val="minor"/>
      </rPr>
      <t xml:space="preserve">ALTERNATIVE: </t>
    </r>
    <r>
      <rPr>
        <i/>
        <sz val="11"/>
        <color theme="1"/>
        <rFont val="Calibri"/>
        <family val="2"/>
        <scheme val="minor"/>
      </rPr>
      <t>2e. RESERVOIR (39,300 AF ACTIVE STORAGE)</t>
    </r>
  </si>
  <si>
    <r>
      <rPr>
        <b/>
        <i/>
        <sz val="11"/>
        <color theme="1"/>
        <rFont val="Calibri"/>
        <family val="2"/>
        <scheme val="minor"/>
      </rPr>
      <t xml:space="preserve">ALTERNATIVE: </t>
    </r>
    <r>
      <rPr>
        <i/>
        <sz val="11"/>
        <color theme="1"/>
        <rFont val="Calibri"/>
        <family val="2"/>
        <scheme val="minor"/>
      </rPr>
      <t>2d. RESERVOIR (32,000 AF ACTIVE STORAGE)</t>
    </r>
  </si>
  <si>
    <t>2. GFID is exchanged if flow deficits occur downstream of GFID but above L4 during time period in which GFID is diverting.</t>
  </si>
  <si>
    <t>3. L4 is exchanged if flow deficits occur downstream.</t>
  </si>
  <si>
    <t>4. Any remaining unexchanged GFID demand is exchanged if any flow deficits remain downstream during time period in which GFID is diverting.</t>
  </si>
  <si>
    <t>1. WWRID/HBDIC demands exchanged when flow targets not met; quantity exchanged is only the amount necessary to eliminate target flow deficits downstream (up to full exchange of WWRID/HBDIC irrigation demand) to GFID diversion.</t>
  </si>
  <si>
    <t>1. WWRID/HBDIC demands exchanged when flow targets not met; quantity exchanged is only the amount necessary to eliminate target flow deficits downstream (up to full exchange of WWRID/HBDIC irrigation demand) to GFID diversion. Spring use is exchanged first, then fall use, then summer use is exchanged if remaining water supply is sufficient.</t>
  </si>
  <si>
    <t>Gaining reach, but limited data available; assumed 0% seepage as conservative estimate</t>
  </si>
  <si>
    <t>5. Any remaining unexchanged WWRID/HBDIC demand is exchanged if any flow deficits remain downstream.</t>
  </si>
  <si>
    <t>6. Any remaining flow target deficits are addressed using the release of reservoir water to the Walla Walla at Milton-Freewater; reservoir water is released to address remaining flow target deficits if remaining reservoir water supply is sufficient.</t>
  </si>
  <si>
    <t>6. Any remaining GFID demand is exchanged to address any remaining flow target deficits downstream of GFID.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</si>
</sst>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2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6">
    <xf numFmtId="0" fontId="0" fillId="0" borderId="0" xfId="0"/>
    <xf numFmtId="0" fontId="0" fillId="0" borderId="0" xfId="0" applyBorder="1"/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left" indent="1"/>
    </xf>
    <xf numFmtId="0" fontId="3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0" borderId="0" xfId="0" applyNumberFormat="1" applyBorder="1"/>
    <xf numFmtId="164" fontId="0" fillId="3" borderId="0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2" fillId="2" borderId="4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0" xfId="0" applyBorder="1" applyAlignment="1">
      <alignment horizontal="left" indent="2"/>
    </xf>
    <xf numFmtId="1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2" fillId="0" borderId="6" xfId="0" applyFont="1" applyBorder="1" applyAlignment="1">
      <alignment horizontal="left" indent="2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2"/>
    </xf>
    <xf numFmtId="1" fontId="2" fillId="2" borderId="4" xfId="0" applyNumberFormat="1" applyFont="1" applyFill="1" applyBorder="1"/>
    <xf numFmtId="0" fontId="2" fillId="2" borderId="4" xfId="0" applyFont="1" applyFill="1" applyBorder="1" applyAlignment="1"/>
    <xf numFmtId="164" fontId="8" fillId="0" borderId="5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1" fontId="0" fillId="2" borderId="0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7" fillId="7" borderId="0" xfId="0" applyNumberFormat="1" applyFont="1" applyFill="1" applyBorder="1" applyAlignment="1">
      <alignment horizontal="center"/>
    </xf>
    <xf numFmtId="164" fontId="7" fillId="7" borderId="5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/>
    <xf numFmtId="0" fontId="10" fillId="0" borderId="0" xfId="0" applyFont="1" applyBorder="1" applyAlignment="1"/>
    <xf numFmtId="0" fontId="6" fillId="0" borderId="0" xfId="0" applyFont="1" applyFill="1" applyBorder="1"/>
    <xf numFmtId="1" fontId="6" fillId="0" borderId="0" xfId="0" applyNumberFormat="1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7" fillId="7" borderId="3" xfId="0" applyNumberFormat="1" applyFont="1" applyFill="1" applyBorder="1" applyAlignment="1">
      <alignment horizontal="center"/>
    </xf>
    <xf numFmtId="9" fontId="9" fillId="0" borderId="1" xfId="0" applyNumberFormat="1" applyFont="1" applyFill="1" applyBorder="1" applyAlignment="1">
      <alignment horizontal="center"/>
    </xf>
    <xf numFmtId="0" fontId="10" fillId="7" borderId="4" xfId="0" applyFont="1" applyFill="1" applyBorder="1" applyAlignment="1">
      <alignment horizontal="left" indent="1"/>
    </xf>
    <xf numFmtId="0" fontId="7" fillId="0" borderId="4" xfId="0" applyFont="1" applyBorder="1" applyAlignment="1">
      <alignment horizontal="left" indent="2"/>
    </xf>
    <xf numFmtId="164" fontId="10" fillId="3" borderId="2" xfId="0" applyNumberFormat="1" applyFont="1" applyFill="1" applyBorder="1"/>
    <xf numFmtId="164" fontId="10" fillId="3" borderId="4" xfId="0" applyNumberFormat="1" applyFont="1" applyFill="1" applyBorder="1"/>
    <xf numFmtId="0" fontId="6" fillId="0" borderId="14" xfId="0" applyFont="1" applyBorder="1"/>
    <xf numFmtId="164" fontId="10" fillId="6" borderId="9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left"/>
    </xf>
    <xf numFmtId="164" fontId="10" fillId="3" borderId="10" xfId="0" applyNumberFormat="1" applyFont="1" applyFill="1" applyBorder="1"/>
    <xf numFmtId="164" fontId="7" fillId="3" borderId="4" xfId="0" applyNumberFormat="1" applyFont="1" applyFill="1" applyBorder="1" applyAlignment="1">
      <alignment horizontal="left" indent="1"/>
    </xf>
    <xf numFmtId="164" fontId="7" fillId="0" borderId="4" xfId="0" applyNumberFormat="1" applyFont="1" applyFill="1" applyBorder="1" applyAlignment="1">
      <alignment horizontal="left" indent="1"/>
    </xf>
    <xf numFmtId="164" fontId="7" fillId="0" borderId="4" xfId="0" applyNumberFormat="1" applyFont="1" applyFill="1" applyBorder="1" applyAlignment="1">
      <alignment horizontal="left" indent="2"/>
    </xf>
    <xf numFmtId="9" fontId="10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7" borderId="4" xfId="0" applyFont="1" applyFill="1" applyBorder="1" applyAlignment="1">
      <alignment horizontal="left" indent="2"/>
    </xf>
    <xf numFmtId="0" fontId="11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left" indent="1"/>
    </xf>
    <xf numFmtId="0" fontId="10" fillId="2" borderId="4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 indent="1"/>
    </xf>
    <xf numFmtId="1" fontId="7" fillId="2" borderId="0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164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0" fillId="4" borderId="2" xfId="0" applyNumberFormat="1" applyFont="1" applyFill="1" applyBorder="1"/>
    <xf numFmtId="164" fontId="7" fillId="4" borderId="4" xfId="0" applyNumberFormat="1" applyFont="1" applyFill="1" applyBorder="1" applyAlignment="1">
      <alignment horizontal="left" indent="1"/>
    </xf>
    <xf numFmtId="164" fontId="7" fillId="0" borderId="4" xfId="0" applyNumberFormat="1" applyFont="1" applyBorder="1" applyAlignment="1">
      <alignment horizontal="left" indent="1"/>
    </xf>
    <xf numFmtId="164" fontId="10" fillId="4" borderId="4" xfId="0" applyNumberFormat="1" applyFont="1" applyFill="1" applyBorder="1"/>
    <xf numFmtId="164" fontId="7" fillId="0" borderId="4" xfId="0" applyNumberFormat="1" applyFont="1" applyBorder="1" applyAlignment="1">
      <alignment horizontal="left" indent="2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9" fontId="10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10" fillId="0" borderId="9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7" fillId="7" borderId="17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9" fillId="0" borderId="0" xfId="0" applyFont="1" applyFill="1" applyBorder="1"/>
    <xf numFmtId="0" fontId="3" fillId="0" borderId="14" xfId="0" applyFont="1" applyBorder="1"/>
    <xf numFmtId="0" fontId="2" fillId="0" borderId="0" xfId="0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0" fontId="3" fillId="0" borderId="15" xfId="0" applyFont="1" applyBorder="1"/>
    <xf numFmtId="164" fontId="12" fillId="0" borderId="4" xfId="0" applyNumberFormat="1" applyFont="1" applyFill="1" applyBorder="1" applyAlignment="1">
      <alignment horizontal="left" indent="2"/>
    </xf>
    <xf numFmtId="164" fontId="3" fillId="0" borderId="0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 applyBorder="1"/>
    <xf numFmtId="38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8" fontId="2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2" fillId="0" borderId="10" xfId="0" applyFont="1" applyBorder="1"/>
    <xf numFmtId="0" fontId="6" fillId="0" borderId="18" xfId="0" applyFont="1" applyBorder="1" applyAlignment="1">
      <alignment horizontal="left"/>
    </xf>
    <xf numFmtId="38" fontId="6" fillId="0" borderId="0" xfId="0" applyNumberFormat="1" applyFont="1" applyBorder="1"/>
    <xf numFmtId="0" fontId="3" fillId="0" borderId="18" xfId="0" applyFont="1" applyBorder="1" applyAlignment="1">
      <alignment horizontal="center"/>
    </xf>
    <xf numFmtId="0" fontId="3" fillId="0" borderId="18" xfId="0" applyFont="1" applyBorder="1"/>
    <xf numFmtId="38" fontId="6" fillId="0" borderId="18" xfId="0" applyNumberFormat="1" applyFont="1" applyBorder="1"/>
    <xf numFmtId="0" fontId="15" fillId="0" borderId="0" xfId="0" applyFont="1" applyBorder="1"/>
    <xf numFmtId="164" fontId="6" fillId="0" borderId="0" xfId="0" applyNumberFormat="1" applyFont="1" applyBorder="1"/>
    <xf numFmtId="1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9" fontId="9" fillId="0" borderId="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0" fillId="0" borderId="0" xfId="0" applyFont="1"/>
    <xf numFmtId="0" fontId="2" fillId="0" borderId="2" xfId="0" applyFont="1" applyBorder="1"/>
    <xf numFmtId="0" fontId="0" fillId="0" borderId="17" xfId="0" applyBorder="1"/>
    <xf numFmtId="38" fontId="2" fillId="0" borderId="3" xfId="0" applyNumberFormat="1" applyFont="1" applyBorder="1" applyAlignment="1">
      <alignment horizontal="center"/>
    </xf>
    <xf numFmtId="0" fontId="9" fillId="0" borderId="6" xfId="0" applyFont="1" applyBorder="1"/>
    <xf numFmtId="0" fontId="0" fillId="0" borderId="7" xfId="0" applyBorder="1"/>
    <xf numFmtId="38" fontId="2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05"/>
  <sheetViews>
    <sheetView topLeftCell="A61" zoomScale="90" zoomScaleNormal="90" workbookViewId="0">
      <selection activeCell="T24" sqref="T24"/>
    </sheetView>
  </sheetViews>
  <sheetFormatPr defaultRowHeight="15" x14ac:dyDescent="0.25"/>
  <cols>
    <col min="2" max="2" width="46.7109375" customWidth="1"/>
  </cols>
  <sheetData>
    <row r="2" spans="2:18" ht="15.75" thickBot="1" x14ac:dyDescent="0.3"/>
    <row r="3" spans="2:18" x14ac:dyDescent="0.25">
      <c r="B3" s="144" t="s">
        <v>68</v>
      </c>
    </row>
    <row r="4" spans="2:18" x14ac:dyDescent="0.25">
      <c r="B4" s="130" t="s">
        <v>128</v>
      </c>
    </row>
    <row r="5" spans="2:18" x14ac:dyDescent="0.25">
      <c r="B5" s="74" t="s">
        <v>117</v>
      </c>
      <c r="J5" s="153" t="s">
        <v>139</v>
      </c>
    </row>
    <row r="6" spans="2:18" ht="15.75" thickBot="1" x14ac:dyDescent="0.3">
      <c r="B6" s="134" t="s">
        <v>114</v>
      </c>
    </row>
    <row r="7" spans="2:18" ht="15.75" thickBot="1" x14ac:dyDescent="0.3">
      <c r="B7" s="33"/>
      <c r="C7" s="165" t="s">
        <v>29</v>
      </c>
      <c r="D7" s="165"/>
      <c r="E7" s="165" t="s">
        <v>30</v>
      </c>
      <c r="F7" s="165"/>
      <c r="G7" s="165" t="s">
        <v>31</v>
      </c>
      <c r="H7" s="165"/>
      <c r="I7" s="165" t="s">
        <v>32</v>
      </c>
      <c r="J7" s="165"/>
      <c r="K7" s="165" t="s">
        <v>33</v>
      </c>
      <c r="L7" s="165"/>
      <c r="M7" s="165" t="s">
        <v>34</v>
      </c>
      <c r="N7" s="165"/>
      <c r="O7" s="165" t="s">
        <v>35</v>
      </c>
      <c r="P7" s="165"/>
      <c r="Q7" s="165" t="s">
        <v>105</v>
      </c>
      <c r="R7" s="165"/>
    </row>
    <row r="8" spans="2:18" ht="15.75" thickBot="1" x14ac:dyDescent="0.3">
      <c r="B8" s="51" t="s">
        <v>43</v>
      </c>
      <c r="C8" s="52">
        <f>'50% Exceedance Baseline'!C7</f>
        <v>0</v>
      </c>
      <c r="D8" s="52">
        <f>'50% Exceedance Baseline'!D7</f>
        <v>0</v>
      </c>
      <c r="E8" s="52">
        <f>'50% Exceedance Baseline'!E7</f>
        <v>0</v>
      </c>
      <c r="F8" s="52">
        <f>'50% Exceedance Baseline'!F7</f>
        <v>0</v>
      </c>
      <c r="G8" s="52">
        <f>'50% Exceedance Baseline'!G7</f>
        <v>0</v>
      </c>
      <c r="H8" s="52">
        <f>'50% Exceedance Baseline'!H7</f>
        <v>0</v>
      </c>
      <c r="I8" s="52">
        <f>'50% Exceedance Baseline'!I7</f>
        <v>0</v>
      </c>
      <c r="J8" s="52">
        <f>'50% Exceedance Baseline'!J7</f>
        <v>0</v>
      </c>
      <c r="K8" s="52">
        <f>'50% Exceedance Baseline'!K7</f>
        <v>0</v>
      </c>
      <c r="L8" s="52">
        <f>'50% Exceedance Baseline'!L7</f>
        <v>0</v>
      </c>
      <c r="M8" s="52">
        <f>'50% Exceedance Baseline'!M7</f>
        <v>0</v>
      </c>
      <c r="N8" s="52">
        <f>'50% Exceedance Baseline'!N7</f>
        <v>0</v>
      </c>
      <c r="O8" s="52">
        <f>'50% Exceedance Baseline'!O7</f>
        <v>0</v>
      </c>
      <c r="P8" s="52">
        <f>'50% Exceedance Baseline'!P7</f>
        <v>0</v>
      </c>
      <c r="Q8" s="52">
        <f>'50% Exceedance Baseline'!Q7</f>
        <v>0</v>
      </c>
      <c r="R8" s="52">
        <f>'50% Exceedance Baseline'!R7</f>
        <v>0</v>
      </c>
    </row>
    <row r="9" spans="2:18" ht="15.75" thickBot="1" x14ac:dyDescent="0.3">
      <c r="B9" s="53" t="s">
        <v>44</v>
      </c>
      <c r="C9" s="52">
        <f>'50% Exceedance Baseline'!C8</f>
        <v>0</v>
      </c>
      <c r="D9" s="52">
        <f>'50% Exceedance Baseline'!D8</f>
        <v>0</v>
      </c>
      <c r="E9" s="52">
        <f>'50% Exceedance Baseline'!E8</f>
        <v>0</v>
      </c>
      <c r="F9" s="52">
        <f>'50% Exceedance Baseline'!F8</f>
        <v>-38.25</v>
      </c>
      <c r="G9" s="52">
        <f>'50% Exceedance Baseline'!G8</f>
        <v>-113.80657453000001</v>
      </c>
      <c r="H9" s="52">
        <f>'50% Exceedance Baseline'!H8</f>
        <v>-63.485045370000002</v>
      </c>
      <c r="I9" s="52">
        <f>'50% Exceedance Baseline'!I8</f>
        <v>-36.283164479999996</v>
      </c>
      <c r="J9" s="52">
        <f>'50% Exceedance Baseline'!J8</f>
        <v>-36.007713539999997</v>
      </c>
      <c r="K9" s="52">
        <f>'50% Exceedance Baseline'!K8</f>
        <v>-33.388502889999998</v>
      </c>
      <c r="L9" s="52">
        <f>'50% Exceedance Baseline'!L8</f>
        <v>-34.728886889999998</v>
      </c>
      <c r="M9" s="52">
        <f>'50% Exceedance Baseline'!M8</f>
        <v>-31.858604159999999</v>
      </c>
      <c r="N9" s="52">
        <f>'50% Exceedance Baseline'!N8</f>
        <v>-34.099166660000002</v>
      </c>
      <c r="O9" s="52">
        <f>'50% Exceedance Baseline'!O8</f>
        <v>-31.326614579999998</v>
      </c>
      <c r="P9" s="52">
        <f>'50% Exceedance Baseline'!P8</f>
        <v>-26.931128510000001</v>
      </c>
      <c r="Q9" s="52">
        <f>'50% Exceedance Baseline'!Q8</f>
        <v>-15.527628440000001</v>
      </c>
      <c r="R9" s="52">
        <f>'50% Exceedance Baseline'!R8</f>
        <v>0</v>
      </c>
    </row>
    <row r="10" spans="2:18" ht="15.75" thickBot="1" x14ac:dyDescent="0.3">
      <c r="B10" s="53" t="s">
        <v>45</v>
      </c>
      <c r="C10" s="52">
        <f>'50% Exceedance Baseline'!C9</f>
        <v>0</v>
      </c>
      <c r="D10" s="52">
        <f>'50% Exceedance Baseline'!D9</f>
        <v>0</v>
      </c>
      <c r="E10" s="52">
        <f>'50% Exceedance Baseline'!E9</f>
        <v>0</v>
      </c>
      <c r="F10" s="52">
        <f>'50% Exceedance Baseline'!F9</f>
        <v>0</v>
      </c>
      <c r="G10" s="52">
        <f>'50% Exceedance Baseline'!G9</f>
        <v>-81.024819129999997</v>
      </c>
      <c r="H10" s="52">
        <f>'50% Exceedance Baseline'!H9</f>
        <v>-62.567904409999997</v>
      </c>
      <c r="I10" s="52">
        <f>'50% Exceedance Baseline'!I9</f>
        <v>-48.220071860000004</v>
      </c>
      <c r="J10" s="52">
        <f>'50% Exceedance Baseline'!J9</f>
        <v>-47.377864580000001</v>
      </c>
      <c r="K10" s="52">
        <f>'50% Exceedance Baseline'!K9</f>
        <v>-47.008854159999999</v>
      </c>
      <c r="L10" s="52">
        <f>'50% Exceedance Baseline'!L9</f>
        <v>-49.405405090000002</v>
      </c>
      <c r="M10" s="52">
        <f>'50% Exceedance Baseline'!M9</f>
        <v>-44.983854269999995</v>
      </c>
      <c r="N10" s="52">
        <f>'50% Exceedance Baseline'!N9</f>
        <v>-45.766223769999996</v>
      </c>
      <c r="O10" s="52">
        <f>'50% Exceedance Baseline'!O9</f>
        <v>-41.542524389999997</v>
      </c>
      <c r="P10" s="52">
        <f>'50% Exceedance Baseline'!P9</f>
        <v>-35.612579289999999</v>
      </c>
      <c r="Q10" s="52">
        <f>'50% Exceedance Baseline'!Q9</f>
        <v>-15.677163579999998</v>
      </c>
      <c r="R10" s="52">
        <f>'50% Exceedance Baseline'!R9</f>
        <v>0</v>
      </c>
    </row>
    <row r="11" spans="2:18" ht="15.75" thickBot="1" x14ac:dyDescent="0.3">
      <c r="B11" s="53" t="s">
        <v>46</v>
      </c>
      <c r="C11" s="52">
        <f>'50% Exceedance Baseline'!C10</f>
        <v>0</v>
      </c>
      <c r="D11" s="52">
        <f>'50% Exceedance Baseline'!D10</f>
        <v>0</v>
      </c>
      <c r="E11" s="52">
        <f>'50% Exceedance Baseline'!E10</f>
        <v>0</v>
      </c>
      <c r="F11" s="52">
        <f>'50% Exceedance Baseline'!F10</f>
        <v>0</v>
      </c>
      <c r="G11" s="52">
        <f>'50% Exceedance Baseline'!G10</f>
        <v>-74.618750000000006</v>
      </c>
      <c r="H11" s="52">
        <f>'50% Exceedance Baseline'!H10</f>
        <v>-59.813802080000002</v>
      </c>
      <c r="I11" s="52">
        <f>'50% Exceedance Baseline'!I10</f>
        <v>-34.698437499999997</v>
      </c>
      <c r="J11" s="52">
        <f>'50% Exceedance Baseline'!J10</f>
        <v>-30.499739580000004</v>
      </c>
      <c r="K11" s="52">
        <f>'50% Exceedance Baseline'!K10</f>
        <v>-30.696354169999999</v>
      </c>
      <c r="L11" s="52">
        <f>'50% Exceedance Baseline'!L10</f>
        <v>-29.962499999999999</v>
      </c>
      <c r="M11" s="52">
        <f>'50% Exceedance Baseline'!M10</f>
        <v>-22.131250000000001</v>
      </c>
      <c r="N11" s="52">
        <f>'50% Exceedance Baseline'!N10</f>
        <v>-16.096093750000001</v>
      </c>
      <c r="O11" s="52">
        <f>'50% Exceedance Baseline'!O10</f>
        <v>-36.322395830000005</v>
      </c>
      <c r="P11" s="52">
        <f>'50% Exceedance Baseline'!P10</f>
        <v>-41.881250000000001</v>
      </c>
      <c r="Q11" s="52">
        <f>'50% Exceedance Baseline'!Q10</f>
        <v>-41.456770829999996</v>
      </c>
      <c r="R11" s="52">
        <f>'50% Exceedance Baseline'!R10</f>
        <v>-28.934375000000003</v>
      </c>
    </row>
    <row r="12" spans="2:18" ht="15.75" thickBot="1" x14ac:dyDescent="0.3">
      <c r="B12" s="53" t="s">
        <v>47</v>
      </c>
      <c r="C12" s="52">
        <f>'50% Exceedance Baseline'!C11</f>
        <v>0</v>
      </c>
      <c r="D12" s="52">
        <f>'50% Exceedance Baseline'!D11</f>
        <v>0</v>
      </c>
      <c r="E12" s="52">
        <f>'50% Exceedance Baseline'!E11</f>
        <v>0</v>
      </c>
      <c r="F12" s="52">
        <f>'50% Exceedance Baseline'!F11</f>
        <v>0</v>
      </c>
      <c r="G12" s="52">
        <f>'50% Exceedance Baseline'!G11</f>
        <v>-34</v>
      </c>
      <c r="H12" s="52">
        <f>'50% Exceedance Baseline'!H11</f>
        <v>-30.200000000000003</v>
      </c>
      <c r="I12" s="52">
        <f>'50% Exceedance Baseline'!I11</f>
        <v>-25.700000000000003</v>
      </c>
      <c r="J12" s="52">
        <f>'50% Exceedance Baseline'!J11</f>
        <v>-26.799999999999997</v>
      </c>
      <c r="K12" s="52">
        <f>'50% Exceedance Baseline'!K11</f>
        <v>-26.15</v>
      </c>
      <c r="L12" s="52">
        <f>'50% Exceedance Baseline'!L11</f>
        <v>-22.6</v>
      </c>
      <c r="M12" s="52">
        <f>'50% Exceedance Baseline'!M11</f>
        <v>-14.100000000000001</v>
      </c>
      <c r="N12" s="52">
        <f>'50% Exceedance Baseline'!N11</f>
        <v>-7.0499999999999972</v>
      </c>
      <c r="O12" s="52">
        <f>'50% Exceedance Baseline'!O11</f>
        <v>-20</v>
      </c>
      <c r="P12" s="52">
        <f>'50% Exceedance Baseline'!P11</f>
        <v>-16.299999999999997</v>
      </c>
      <c r="Q12" s="52">
        <f>'50% Exceedance Baseline'!Q11</f>
        <v>-4</v>
      </c>
      <c r="R12" s="52">
        <f>'50% Exceedance Baseline'!R11</f>
        <v>0</v>
      </c>
    </row>
    <row r="13" spans="2:18" ht="15.75" thickBot="1" x14ac:dyDescent="0.3">
      <c r="B13" s="53" t="s">
        <v>48</v>
      </c>
      <c r="C13" s="52">
        <f>'50% Exceedance Baseline'!C12</f>
        <v>0</v>
      </c>
      <c r="D13" s="52">
        <f>'50% Exceedance Baseline'!D12</f>
        <v>0</v>
      </c>
      <c r="E13" s="52">
        <f>'50% Exceedance Baseline'!E12</f>
        <v>0</v>
      </c>
      <c r="F13" s="52">
        <f>'50% Exceedance Baseline'!F12</f>
        <v>-90.121478870000004</v>
      </c>
      <c r="G13" s="52">
        <f>'50% Exceedance Baseline'!G12</f>
        <v>-142.03035807000001</v>
      </c>
      <c r="H13" s="52">
        <f>'50% Exceedance Baseline'!H12</f>
        <v>-92.605251788000004</v>
      </c>
      <c r="I13" s="52">
        <f>'50% Exceedance Baseline'!I12</f>
        <v>-53.554331959999999</v>
      </c>
      <c r="J13" s="52">
        <f>'50% Exceedance Baseline'!J12</f>
        <v>-54.186736769999996</v>
      </c>
      <c r="K13" s="52">
        <f>'50% Exceedance Baseline'!K12</f>
        <v>-54.110752910000002</v>
      </c>
      <c r="L13" s="52">
        <f>'50% Exceedance Baseline'!L12</f>
        <v>-54.402934420000001</v>
      </c>
      <c r="M13" s="52">
        <f>'50% Exceedance Baseline'!M12</f>
        <v>-41.756615029999999</v>
      </c>
      <c r="N13" s="52">
        <f>'50% Exceedance Baseline'!N12</f>
        <v>-41.534143729999997</v>
      </c>
      <c r="O13" s="52">
        <f>'50% Exceedance Baseline'!O12</f>
        <v>-46.377626890000002</v>
      </c>
      <c r="P13" s="52">
        <f>'50% Exceedance Baseline'!P12</f>
        <v>-47.402459530000002</v>
      </c>
      <c r="Q13" s="52">
        <f>'50% Exceedance Baseline'!Q12</f>
        <v>-34.728666740000001</v>
      </c>
      <c r="R13" s="52">
        <f>'50% Exceedance Baseline'!R12</f>
        <v>-4.7467429399999972</v>
      </c>
    </row>
    <row r="14" spans="2:18" ht="15.75" thickBot="1" x14ac:dyDescent="0.3">
      <c r="B14" s="53" t="s">
        <v>70</v>
      </c>
      <c r="C14" s="52">
        <f>'50% Exceedance Baseline'!C13</f>
        <v>0</v>
      </c>
      <c r="D14" s="52">
        <f>'50% Exceedance Baseline'!D13</f>
        <v>0</v>
      </c>
      <c r="E14" s="52">
        <f>'50% Exceedance Baseline'!E13</f>
        <v>0</v>
      </c>
      <c r="F14" s="52">
        <f>'50% Exceedance Baseline'!F13</f>
        <v>0</v>
      </c>
      <c r="G14" s="52">
        <f>'50% Exceedance Baseline'!G13</f>
        <v>0</v>
      </c>
      <c r="H14" s="52">
        <f>'50% Exceedance Baseline'!H13</f>
        <v>0</v>
      </c>
      <c r="I14" s="52">
        <f>'50% Exceedance Baseline'!I13</f>
        <v>-16</v>
      </c>
      <c r="J14" s="52">
        <f>'50% Exceedance Baseline'!J13</f>
        <v>-43</v>
      </c>
      <c r="K14" s="52">
        <f>'50% Exceedance Baseline'!K13</f>
        <v>-50</v>
      </c>
      <c r="L14" s="52">
        <f>'50% Exceedance Baseline'!L13</f>
        <v>-51</v>
      </c>
      <c r="M14" s="52">
        <f>'50% Exceedance Baseline'!M13</f>
        <v>-42</v>
      </c>
      <c r="N14" s="52">
        <f>'50% Exceedance Baseline'!N13</f>
        <v>-25</v>
      </c>
      <c r="O14" s="52">
        <f>'50% Exceedance Baseline'!O13</f>
        <v>-17</v>
      </c>
      <c r="P14" s="52">
        <f>'50% Exceedance Baseline'!P13</f>
        <v>-4</v>
      </c>
      <c r="Q14" s="52">
        <f>'50% Exceedance Baseline'!Q13</f>
        <v>0</v>
      </c>
      <c r="R14" s="52">
        <f>'50% Exceedance Baseline'!R13</f>
        <v>0</v>
      </c>
    </row>
    <row r="15" spans="2:18" ht="15.75" thickBot="1" x14ac:dyDescent="0.3">
      <c r="B15" s="55" t="s">
        <v>49</v>
      </c>
      <c r="C15" s="52">
        <f>'50% Exceedance Baseline'!C14</f>
        <v>0</v>
      </c>
      <c r="D15" s="52">
        <f>'50% Exceedance Baseline'!D14</f>
        <v>0</v>
      </c>
      <c r="E15" s="52">
        <f>'50% Exceedance Baseline'!E14</f>
        <v>0</v>
      </c>
      <c r="F15" s="52">
        <f>'50% Exceedance Baseline'!F14</f>
        <v>0</v>
      </c>
      <c r="G15" s="52">
        <f>'50% Exceedance Baseline'!G14</f>
        <v>-83.362245610000002</v>
      </c>
      <c r="H15" s="52">
        <f>'50% Exceedance Baseline'!H14</f>
        <v>-25.365024930000004</v>
      </c>
      <c r="I15" s="52">
        <f>'50% Exceedance Baseline'!I14</f>
        <v>-11.697123779999998</v>
      </c>
      <c r="J15" s="52">
        <f>'50% Exceedance Baseline'!J14</f>
        <v>-43.272686739999997</v>
      </c>
      <c r="K15" s="52">
        <f>'50% Exceedance Baseline'!K14</f>
        <v>-52.875974749999997</v>
      </c>
      <c r="L15" s="52">
        <f>'50% Exceedance Baseline'!L14</f>
        <v>-52.391070339999999</v>
      </c>
      <c r="M15" s="52">
        <f>'50% Exceedance Baseline'!M14</f>
        <v>-32.895803960000002</v>
      </c>
      <c r="N15" s="52">
        <f>'50% Exceedance Baseline'!N14</f>
        <v>-32.82694549</v>
      </c>
      <c r="O15" s="52">
        <f>'50% Exceedance Baseline'!O14</f>
        <v>-35.772550429999995</v>
      </c>
      <c r="P15" s="52">
        <f>'50% Exceedance Baseline'!P14</f>
        <v>-13.67339046</v>
      </c>
      <c r="Q15" s="52">
        <f>'50% Exceedance Baseline'!Q14</f>
        <v>0</v>
      </c>
      <c r="R15" s="52">
        <f>'50% Exceedance Baseline'!R14</f>
        <v>0</v>
      </c>
    </row>
    <row r="17" spans="2:18" ht="15.75" thickBot="1" x14ac:dyDescent="0.3"/>
    <row r="18" spans="2:18" ht="15.75" thickBot="1" x14ac:dyDescent="0.3">
      <c r="B18" s="144" t="s">
        <v>68</v>
      </c>
    </row>
    <row r="19" spans="2:18" x14ac:dyDescent="0.25">
      <c r="B19" s="143" t="s">
        <v>121</v>
      </c>
      <c r="D19" s="159" t="s">
        <v>144</v>
      </c>
      <c r="E19" s="160"/>
      <c r="F19" s="160"/>
      <c r="G19" s="161">
        <f>'1. Large Columbia Exchange'!X15</f>
        <v>25497.892500000005</v>
      </c>
    </row>
    <row r="20" spans="2:18" ht="15.75" thickBot="1" x14ac:dyDescent="0.3">
      <c r="B20" s="74" t="s">
        <v>117</v>
      </c>
      <c r="D20" s="162" t="s">
        <v>143</v>
      </c>
      <c r="E20" s="163"/>
      <c r="F20" s="163"/>
      <c r="G20" s="164">
        <f>'1. Large Columbia Exchange'!X16</f>
        <v>-1695.554489213423</v>
      </c>
    </row>
    <row r="21" spans="2:18" ht="15.75" thickBot="1" x14ac:dyDescent="0.3">
      <c r="B21" s="134" t="s">
        <v>114</v>
      </c>
    </row>
    <row r="22" spans="2:18" ht="15.75" thickBot="1" x14ac:dyDescent="0.3">
      <c r="B22" s="33"/>
      <c r="C22" s="165" t="s">
        <v>29</v>
      </c>
      <c r="D22" s="165"/>
      <c r="E22" s="165" t="s">
        <v>30</v>
      </c>
      <c r="F22" s="165"/>
      <c r="G22" s="165" t="s">
        <v>31</v>
      </c>
      <c r="H22" s="165"/>
      <c r="I22" s="165" t="s">
        <v>32</v>
      </c>
      <c r="J22" s="165"/>
      <c r="K22" s="165" t="s">
        <v>33</v>
      </c>
      <c r="L22" s="165"/>
      <c r="M22" s="165" t="s">
        <v>34</v>
      </c>
      <c r="N22" s="165"/>
      <c r="O22" s="165" t="s">
        <v>35</v>
      </c>
      <c r="P22" s="165"/>
      <c r="Q22" s="165" t="s">
        <v>105</v>
      </c>
      <c r="R22" s="165"/>
    </row>
    <row r="23" spans="2:18" ht="15.75" thickBot="1" x14ac:dyDescent="0.3">
      <c r="B23" s="51" t="s">
        <v>43</v>
      </c>
      <c r="C23" s="52">
        <f>'1. Large Columbia Exchange'!C7</f>
        <v>0</v>
      </c>
      <c r="D23" s="52">
        <f>'1. Large Columbia Exchange'!D7</f>
        <v>0</v>
      </c>
      <c r="E23" s="52">
        <f>'1. Large Columbia Exchange'!E7</f>
        <v>0</v>
      </c>
      <c r="F23" s="52">
        <f>'1. Large Columbia Exchange'!F7</f>
        <v>0</v>
      </c>
      <c r="G23" s="52">
        <f>'1. Large Columbia Exchange'!G7</f>
        <v>0</v>
      </c>
      <c r="H23" s="52">
        <f>'1. Large Columbia Exchange'!H7</f>
        <v>0</v>
      </c>
      <c r="I23" s="52">
        <f>'1. Large Columbia Exchange'!I7</f>
        <v>0</v>
      </c>
      <c r="J23" s="52">
        <f>'1. Large Columbia Exchange'!J7</f>
        <v>0</v>
      </c>
      <c r="K23" s="52">
        <f>'1. Large Columbia Exchange'!K7</f>
        <v>0</v>
      </c>
      <c r="L23" s="52">
        <f>'1. Large Columbia Exchange'!L7</f>
        <v>0</v>
      </c>
      <c r="M23" s="52">
        <f>'1. Large Columbia Exchange'!M7</f>
        <v>0</v>
      </c>
      <c r="N23" s="52">
        <f>'1. Large Columbia Exchange'!N7</f>
        <v>0</v>
      </c>
      <c r="O23" s="52">
        <f>'1. Large Columbia Exchange'!O7</f>
        <v>0</v>
      </c>
      <c r="P23" s="52">
        <f>'1. Large Columbia Exchange'!P7</f>
        <v>0</v>
      </c>
      <c r="Q23" s="52">
        <f>'1. Large Columbia Exchange'!Q7</f>
        <v>0</v>
      </c>
      <c r="R23" s="52">
        <f>'1. Large Columbia Exchange'!R7</f>
        <v>0</v>
      </c>
    </row>
    <row r="24" spans="2:18" ht="15.75" thickBot="1" x14ac:dyDescent="0.3">
      <c r="B24" s="53" t="s">
        <v>44</v>
      </c>
      <c r="C24" s="52">
        <f>'1. Large Columbia Exchange'!C8</f>
        <v>0</v>
      </c>
      <c r="D24" s="52">
        <f>'1. Large Columbia Exchange'!D8</f>
        <v>0</v>
      </c>
      <c r="E24" s="52">
        <f>'1. Large Columbia Exchange'!E8</f>
        <v>0</v>
      </c>
      <c r="F24" s="52">
        <f>'1. Large Columbia Exchange'!F8</f>
        <v>0</v>
      </c>
      <c r="G24" s="52">
        <f>'1. Large Columbia Exchange'!G8</f>
        <v>-12.286574529999996</v>
      </c>
      <c r="H24" s="52">
        <f>'1. Large Columbia Exchange'!H8</f>
        <v>0</v>
      </c>
      <c r="I24" s="52">
        <f>'1. Large Columbia Exchange'!I8</f>
        <v>0</v>
      </c>
      <c r="J24" s="52">
        <f>'1. Large Columbia Exchange'!J8</f>
        <v>0</v>
      </c>
      <c r="K24" s="52">
        <f>'1. Large Columbia Exchange'!K8</f>
        <v>0</v>
      </c>
      <c r="L24" s="52">
        <f>'1. Large Columbia Exchange'!L8</f>
        <v>0</v>
      </c>
      <c r="M24" s="52">
        <f>'1. Large Columbia Exchange'!M8</f>
        <v>0</v>
      </c>
      <c r="N24" s="52">
        <f>'1. Large Columbia Exchange'!N8</f>
        <v>0</v>
      </c>
      <c r="O24" s="52">
        <f>'1. Large Columbia Exchange'!O8</f>
        <v>0</v>
      </c>
      <c r="P24" s="52">
        <f>'1. Large Columbia Exchange'!P8</f>
        <v>0</v>
      </c>
      <c r="Q24" s="52">
        <f>'1. Large Columbia Exchange'!Q8</f>
        <v>0</v>
      </c>
      <c r="R24" s="52">
        <f>'1. Large Columbia Exchange'!R8</f>
        <v>0</v>
      </c>
    </row>
    <row r="25" spans="2:18" ht="15.75" thickBot="1" x14ac:dyDescent="0.3">
      <c r="B25" s="53" t="s">
        <v>45</v>
      </c>
      <c r="C25" s="52">
        <f>'1. Large Columbia Exchange'!C9</f>
        <v>0</v>
      </c>
      <c r="D25" s="52">
        <f>'1. Large Columbia Exchange'!D9</f>
        <v>0</v>
      </c>
      <c r="E25" s="52">
        <f>'1. Large Columbia Exchange'!E9</f>
        <v>0</v>
      </c>
      <c r="F25" s="52">
        <f>'1. Large Columbia Exchange'!F9</f>
        <v>0</v>
      </c>
      <c r="G25" s="52">
        <f>'1. Large Columbia Exchange'!G9</f>
        <v>0</v>
      </c>
      <c r="H25" s="52">
        <f>'1. Large Columbia Exchange'!H9</f>
        <v>0</v>
      </c>
      <c r="I25" s="52">
        <f>'1. Large Columbia Exchange'!I9</f>
        <v>0</v>
      </c>
      <c r="J25" s="52">
        <f>'1. Large Columbia Exchange'!J9</f>
        <v>0</v>
      </c>
      <c r="K25" s="52">
        <f>'1. Large Columbia Exchange'!K9</f>
        <v>-4.2024541599999949</v>
      </c>
      <c r="L25" s="52">
        <f>'1. Large Columbia Exchange'!L9</f>
        <v>-5.9301550900000066</v>
      </c>
      <c r="M25" s="52">
        <f>'1. Large Columbia Exchange'!M9</f>
        <v>0</v>
      </c>
      <c r="N25" s="52">
        <f>'1. Large Columbia Exchange'!N9</f>
        <v>0</v>
      </c>
      <c r="O25" s="52">
        <f>'1. Large Columbia Exchange'!O9</f>
        <v>0</v>
      </c>
      <c r="P25" s="52">
        <f>'1. Large Columbia Exchange'!P9</f>
        <v>0</v>
      </c>
      <c r="Q25" s="52">
        <f>'1. Large Columbia Exchange'!Q9</f>
        <v>0</v>
      </c>
      <c r="R25" s="52">
        <f>'1. Large Columbia Exchange'!R9</f>
        <v>0</v>
      </c>
    </row>
    <row r="26" spans="2:18" ht="15.75" thickBot="1" x14ac:dyDescent="0.3">
      <c r="B26" s="53" t="s">
        <v>46</v>
      </c>
      <c r="C26" s="52">
        <f>'1. Large Columbia Exchange'!C10</f>
        <v>0</v>
      </c>
      <c r="D26" s="52">
        <f>'1. Large Columbia Exchange'!D10</f>
        <v>0</v>
      </c>
      <c r="E26" s="52">
        <f>'1. Large Columbia Exchange'!E10</f>
        <v>0</v>
      </c>
      <c r="F26" s="52">
        <f>'1. Large Columbia Exchange'!F10</f>
        <v>0</v>
      </c>
      <c r="G26" s="52">
        <f>'1. Large Columbia Exchange'!G10</f>
        <v>0</v>
      </c>
      <c r="H26" s="52">
        <f>'1. Large Columbia Exchange'!H10</f>
        <v>0</v>
      </c>
      <c r="I26" s="52">
        <f>'1. Large Columbia Exchange'!I10</f>
        <v>0</v>
      </c>
      <c r="J26" s="52">
        <f>'1. Large Columbia Exchange'!J10</f>
        <v>0</v>
      </c>
      <c r="K26" s="52">
        <f>'1. Large Columbia Exchange'!K10</f>
        <v>0</v>
      </c>
      <c r="L26" s="52">
        <f>'1. Large Columbia Exchange'!L10</f>
        <v>0</v>
      </c>
      <c r="M26" s="52">
        <f>'1. Large Columbia Exchange'!M10</f>
        <v>0</v>
      </c>
      <c r="N26" s="52">
        <f>'1. Large Columbia Exchange'!N10</f>
        <v>0</v>
      </c>
      <c r="O26" s="52">
        <f>'1. Large Columbia Exchange'!O10</f>
        <v>0</v>
      </c>
      <c r="P26" s="52">
        <f>'1. Large Columbia Exchange'!P10</f>
        <v>0</v>
      </c>
      <c r="Q26" s="52">
        <f>'1. Large Columbia Exchange'!Q10</f>
        <v>0</v>
      </c>
      <c r="R26" s="52">
        <f>'1. Large Columbia Exchange'!R10</f>
        <v>0</v>
      </c>
    </row>
    <row r="27" spans="2:18" ht="15.75" thickBot="1" x14ac:dyDescent="0.3">
      <c r="B27" s="53" t="s">
        <v>47</v>
      </c>
      <c r="C27" s="52">
        <f>'1. Large Columbia Exchange'!C11</f>
        <v>0</v>
      </c>
      <c r="D27" s="52">
        <f>'1. Large Columbia Exchange'!D11</f>
        <v>0</v>
      </c>
      <c r="E27" s="52">
        <f>'1. Large Columbia Exchange'!E11</f>
        <v>0</v>
      </c>
      <c r="F27" s="52">
        <f>'1. Large Columbia Exchange'!F11</f>
        <v>0</v>
      </c>
      <c r="G27" s="52">
        <f>'1. Large Columbia Exchange'!G11</f>
        <v>0</v>
      </c>
      <c r="H27" s="52">
        <f>'1. Large Columbia Exchange'!H11</f>
        <v>0</v>
      </c>
      <c r="I27" s="52">
        <f>'1. Large Columbia Exchange'!I11</f>
        <v>0</v>
      </c>
      <c r="J27" s="52">
        <f>'1. Large Columbia Exchange'!J11</f>
        <v>0</v>
      </c>
      <c r="K27" s="52">
        <f>'1. Large Columbia Exchange'!K11</f>
        <v>0</v>
      </c>
      <c r="L27" s="52">
        <f>'1. Large Columbia Exchange'!L11</f>
        <v>0</v>
      </c>
      <c r="M27" s="52">
        <f>'1. Large Columbia Exchange'!M11</f>
        <v>0</v>
      </c>
      <c r="N27" s="52">
        <f>'1. Large Columbia Exchange'!N11</f>
        <v>0</v>
      </c>
      <c r="O27" s="52">
        <f>'1. Large Columbia Exchange'!O11</f>
        <v>0</v>
      </c>
      <c r="P27" s="52">
        <f>'1. Large Columbia Exchange'!P11</f>
        <v>0</v>
      </c>
      <c r="Q27" s="52">
        <f>'1. Large Columbia Exchange'!Q11</f>
        <v>0</v>
      </c>
      <c r="R27" s="52">
        <f>'1. Large Columbia Exchange'!R11</f>
        <v>0</v>
      </c>
    </row>
    <row r="28" spans="2:18" ht="15.75" thickBot="1" x14ac:dyDescent="0.3">
      <c r="B28" s="53" t="s">
        <v>48</v>
      </c>
      <c r="C28" s="52">
        <f>'1. Large Columbia Exchange'!C12</f>
        <v>0</v>
      </c>
      <c r="D28" s="52">
        <f>'1. Large Columbia Exchange'!D12</f>
        <v>0</v>
      </c>
      <c r="E28" s="52">
        <f>'1. Large Columbia Exchange'!E12</f>
        <v>0</v>
      </c>
      <c r="F28" s="52">
        <f>'1. Large Columbia Exchange'!F12</f>
        <v>0</v>
      </c>
      <c r="G28" s="52">
        <f>'1. Large Columbia Exchange'!G12</f>
        <v>-1.8415767709600175</v>
      </c>
      <c r="H28" s="52">
        <f>'1. Large Columbia Exchange'!H12</f>
        <v>0</v>
      </c>
      <c r="I28" s="52">
        <f>'1. Large Columbia Exchange'!I12</f>
        <v>0</v>
      </c>
      <c r="J28" s="52">
        <f>'1. Large Columbia Exchange'!J12</f>
        <v>0</v>
      </c>
      <c r="K28" s="52">
        <f>'1. Large Columbia Exchange'!K12</f>
        <v>0</v>
      </c>
      <c r="L28" s="52">
        <f>'1. Large Columbia Exchange'!L12</f>
        <v>0</v>
      </c>
      <c r="M28" s="52">
        <f>'1. Large Columbia Exchange'!M12</f>
        <v>0</v>
      </c>
      <c r="N28" s="52">
        <f>'1. Large Columbia Exchange'!N12</f>
        <v>0</v>
      </c>
      <c r="O28" s="52">
        <f>'1. Large Columbia Exchange'!O12</f>
        <v>0</v>
      </c>
      <c r="P28" s="52">
        <f>'1. Large Columbia Exchange'!P12</f>
        <v>0</v>
      </c>
      <c r="Q28" s="52">
        <f>'1. Large Columbia Exchange'!Q12</f>
        <v>0</v>
      </c>
      <c r="R28" s="52">
        <f>'1. Large Columbia Exchange'!R12</f>
        <v>0</v>
      </c>
    </row>
    <row r="29" spans="2:18" ht="15.75" thickBot="1" x14ac:dyDescent="0.3">
      <c r="B29" s="53" t="s">
        <v>70</v>
      </c>
      <c r="C29" s="52">
        <f>'1. Large Columbia Exchange'!C13</f>
        <v>0</v>
      </c>
      <c r="D29" s="52">
        <f>'1. Large Columbia Exchange'!D13</f>
        <v>0</v>
      </c>
      <c r="E29" s="52">
        <f>'1. Large Columbia Exchange'!E13</f>
        <v>0</v>
      </c>
      <c r="F29" s="52">
        <f>'1. Large Columbia Exchange'!F13</f>
        <v>0</v>
      </c>
      <c r="G29" s="52">
        <f>'1. Large Columbia Exchange'!G13</f>
        <v>0</v>
      </c>
      <c r="H29" s="52">
        <f>'1. Large Columbia Exchange'!H13</f>
        <v>0</v>
      </c>
      <c r="I29" s="52">
        <f>'1. Large Columbia Exchange'!I13</f>
        <v>0</v>
      </c>
      <c r="J29" s="52">
        <f>'1. Large Columbia Exchange'!J13</f>
        <v>0</v>
      </c>
      <c r="K29" s="52">
        <f>'1. Large Columbia Exchange'!K13</f>
        <v>0</v>
      </c>
      <c r="L29" s="52">
        <f>'1. Large Columbia Exchange'!L13</f>
        <v>0</v>
      </c>
      <c r="M29" s="52">
        <f>'1. Large Columbia Exchange'!M13</f>
        <v>0</v>
      </c>
      <c r="N29" s="52">
        <f>'1. Large Columbia Exchange'!N13</f>
        <v>0</v>
      </c>
      <c r="O29" s="52">
        <f>'1. Large Columbia Exchange'!O13</f>
        <v>0</v>
      </c>
      <c r="P29" s="52">
        <f>'1. Large Columbia Exchange'!P13</f>
        <v>0</v>
      </c>
      <c r="Q29" s="52">
        <f>'1. Large Columbia Exchange'!Q13</f>
        <v>0</v>
      </c>
      <c r="R29" s="52">
        <f>'1. Large Columbia Exchange'!R13</f>
        <v>0</v>
      </c>
    </row>
    <row r="30" spans="2:18" ht="15.75" thickBot="1" x14ac:dyDescent="0.3">
      <c r="B30" s="55" t="s">
        <v>49</v>
      </c>
      <c r="C30" s="52">
        <f>'1. Large Columbia Exchange'!C14</f>
        <v>0</v>
      </c>
      <c r="D30" s="52">
        <f>'1. Large Columbia Exchange'!D14</f>
        <v>0</v>
      </c>
      <c r="E30" s="52">
        <f>'1. Large Columbia Exchange'!E14</f>
        <v>0</v>
      </c>
      <c r="F30" s="52">
        <f>'1. Large Columbia Exchange'!F14</f>
        <v>0</v>
      </c>
      <c r="G30" s="52">
        <f>'1. Large Columbia Exchange'!G14</f>
        <v>0</v>
      </c>
      <c r="H30" s="52">
        <f>'1. Large Columbia Exchange'!H14</f>
        <v>0</v>
      </c>
      <c r="I30" s="52">
        <f>'1. Large Columbia Exchange'!I14</f>
        <v>0</v>
      </c>
      <c r="J30" s="52">
        <f>'1. Large Columbia Exchange'!J14</f>
        <v>0</v>
      </c>
      <c r="K30" s="52">
        <f>'1. Large Columbia Exchange'!K14</f>
        <v>-16.787363965684079</v>
      </c>
      <c r="L30" s="52">
        <f>'1. Large Columbia Exchange'!L14</f>
        <v>-15.940514730929152</v>
      </c>
      <c r="M30" s="52">
        <f>'1. Large Columbia Exchange'!M14</f>
        <v>0</v>
      </c>
      <c r="N30" s="52">
        <f>'1. Large Columbia Exchange'!N14</f>
        <v>0</v>
      </c>
      <c r="O30" s="52">
        <f>'1. Large Columbia Exchange'!O14</f>
        <v>0</v>
      </c>
      <c r="P30" s="52">
        <f>'1. Large Columbia Exchange'!P14</f>
        <v>0</v>
      </c>
      <c r="Q30" s="52">
        <f>'1. Large Columbia Exchange'!Q14</f>
        <v>0</v>
      </c>
      <c r="R30" s="52">
        <f>'1. Large Columbia Exchange'!R14</f>
        <v>0</v>
      </c>
    </row>
    <row r="32" spans="2:18" ht="15.75" thickBot="1" x14ac:dyDescent="0.3"/>
    <row r="33" spans="2:18" ht="15.75" thickBot="1" x14ac:dyDescent="0.3">
      <c r="B33" s="144" t="s">
        <v>68</v>
      </c>
    </row>
    <row r="34" spans="2:18" x14ac:dyDescent="0.25">
      <c r="B34" s="130" t="s">
        <v>137</v>
      </c>
      <c r="D34" s="159" t="s">
        <v>144</v>
      </c>
      <c r="E34" s="160"/>
      <c r="F34" s="160"/>
      <c r="G34" s="161">
        <f>'2a. Reservoir (26.6k AS)'!X15</f>
        <v>26593.732500000009</v>
      </c>
    </row>
    <row r="35" spans="2:18" ht="15.75" thickBot="1" x14ac:dyDescent="0.3">
      <c r="B35" s="74" t="s">
        <v>117</v>
      </c>
      <c r="D35" s="162" t="s">
        <v>143</v>
      </c>
      <c r="E35" s="163"/>
      <c r="F35" s="163"/>
      <c r="G35" s="164">
        <f>'2a. Reservoir (26.6k AS)'!X16</f>
        <v>-5957.4732610976062</v>
      </c>
    </row>
    <row r="36" spans="2:18" ht="15.75" thickBot="1" x14ac:dyDescent="0.3">
      <c r="B36" s="134" t="s">
        <v>114</v>
      </c>
    </row>
    <row r="37" spans="2:18" ht="15.75" thickBot="1" x14ac:dyDescent="0.3">
      <c r="B37" s="33"/>
      <c r="C37" s="165" t="s">
        <v>29</v>
      </c>
      <c r="D37" s="165"/>
      <c r="E37" s="165" t="s">
        <v>30</v>
      </c>
      <c r="F37" s="165"/>
      <c r="G37" s="165" t="s">
        <v>31</v>
      </c>
      <c r="H37" s="165"/>
      <c r="I37" s="165" t="s">
        <v>32</v>
      </c>
      <c r="J37" s="165"/>
      <c r="K37" s="165" t="s">
        <v>33</v>
      </c>
      <c r="L37" s="165"/>
      <c r="M37" s="165" t="s">
        <v>34</v>
      </c>
      <c r="N37" s="165"/>
      <c r="O37" s="165" t="s">
        <v>35</v>
      </c>
      <c r="P37" s="165"/>
      <c r="Q37" s="165" t="s">
        <v>105</v>
      </c>
      <c r="R37" s="165"/>
    </row>
    <row r="38" spans="2:18" ht="15.75" thickBot="1" x14ac:dyDescent="0.3">
      <c r="B38" s="51" t="s">
        <v>43</v>
      </c>
      <c r="C38" s="52">
        <f>'2a. Reservoir (26.6k AS)'!C7</f>
        <v>0</v>
      </c>
      <c r="D38" s="52">
        <f>'2a. Reservoir (26.6k AS)'!D7</f>
        <v>0</v>
      </c>
      <c r="E38" s="52">
        <f>'2a. Reservoir (26.6k AS)'!E7</f>
        <v>0</v>
      </c>
      <c r="F38" s="52">
        <f>'2a. Reservoir (26.6k AS)'!F7</f>
        <v>0</v>
      </c>
      <c r="G38" s="52">
        <f>'2a. Reservoir (26.6k AS)'!G7</f>
        <v>0</v>
      </c>
      <c r="H38" s="52">
        <f>'2a. Reservoir (26.6k AS)'!H7</f>
        <v>0</v>
      </c>
      <c r="I38" s="52">
        <f>'2a. Reservoir (26.6k AS)'!I7</f>
        <v>0</v>
      </c>
      <c r="J38" s="52">
        <f>'2a. Reservoir (26.6k AS)'!J7</f>
        <v>0</v>
      </c>
      <c r="K38" s="52">
        <f>'2a. Reservoir (26.6k AS)'!K7</f>
        <v>0</v>
      </c>
      <c r="L38" s="52">
        <f>'2a. Reservoir (26.6k AS)'!L7</f>
        <v>0</v>
      </c>
      <c r="M38" s="52">
        <f>'2a. Reservoir (26.6k AS)'!M7</f>
        <v>0</v>
      </c>
      <c r="N38" s="52">
        <f>'2a. Reservoir (26.6k AS)'!N7</f>
        <v>0</v>
      </c>
      <c r="O38" s="52">
        <f>'2a. Reservoir (26.6k AS)'!O7</f>
        <v>0</v>
      </c>
      <c r="P38" s="52">
        <f>'2a. Reservoir (26.6k AS)'!P7</f>
        <v>0</v>
      </c>
      <c r="Q38" s="52">
        <f>'2a. Reservoir (26.6k AS)'!Q7</f>
        <v>0</v>
      </c>
      <c r="R38" s="52">
        <f>'2a. Reservoir (26.6k AS)'!R7</f>
        <v>0</v>
      </c>
    </row>
    <row r="39" spans="2:18" ht="15.75" thickBot="1" x14ac:dyDescent="0.3">
      <c r="B39" s="53" t="s">
        <v>44</v>
      </c>
      <c r="C39" s="52">
        <f>'2a. Reservoir (26.6k AS)'!C8</f>
        <v>0</v>
      </c>
      <c r="D39" s="52">
        <f>'2a. Reservoir (26.6k AS)'!D8</f>
        <v>0</v>
      </c>
      <c r="E39" s="52">
        <f>'2a. Reservoir (26.6k AS)'!E8</f>
        <v>0</v>
      </c>
      <c r="F39" s="52">
        <f>'2a. Reservoir (26.6k AS)'!F8</f>
        <v>0</v>
      </c>
      <c r="G39" s="52">
        <f>'2a. Reservoir (26.6k AS)'!G8</f>
        <v>0</v>
      </c>
      <c r="H39" s="52">
        <f>'2a. Reservoir (26.6k AS)'!H8</f>
        <v>0</v>
      </c>
      <c r="I39" s="52">
        <f>'2a. Reservoir (26.6k AS)'!I8</f>
        <v>0</v>
      </c>
      <c r="J39" s="52">
        <f>'2a. Reservoir (26.6k AS)'!J8</f>
        <v>0</v>
      </c>
      <c r="K39" s="52">
        <f>'2a. Reservoir (26.6k AS)'!K8</f>
        <v>0</v>
      </c>
      <c r="L39" s="52">
        <f>'2a. Reservoir (26.6k AS)'!L8</f>
        <v>0</v>
      </c>
      <c r="M39" s="52">
        <f>'2a. Reservoir (26.6k AS)'!M8</f>
        <v>0</v>
      </c>
      <c r="N39" s="52">
        <f>'2a. Reservoir (26.6k AS)'!N8</f>
        <v>0</v>
      </c>
      <c r="O39" s="52">
        <f>'2a. Reservoir (26.6k AS)'!O8</f>
        <v>0</v>
      </c>
      <c r="P39" s="52">
        <f>'2a. Reservoir (26.6k AS)'!P8</f>
        <v>0</v>
      </c>
      <c r="Q39" s="52">
        <f>'2a. Reservoir (26.6k AS)'!Q8</f>
        <v>0</v>
      </c>
      <c r="R39" s="52">
        <f>'2a. Reservoir (26.6k AS)'!R8</f>
        <v>0</v>
      </c>
    </row>
    <row r="40" spans="2:18" ht="15.75" thickBot="1" x14ac:dyDescent="0.3">
      <c r="B40" s="53" t="s">
        <v>45</v>
      </c>
      <c r="C40" s="52">
        <f>'2a. Reservoir (26.6k AS)'!C9</f>
        <v>0</v>
      </c>
      <c r="D40" s="52">
        <f>'2a. Reservoir (26.6k AS)'!D9</f>
        <v>0</v>
      </c>
      <c r="E40" s="52">
        <f>'2a. Reservoir (26.6k AS)'!E9</f>
        <v>0</v>
      </c>
      <c r="F40" s="52">
        <f>'2a. Reservoir (26.6k AS)'!F9</f>
        <v>0</v>
      </c>
      <c r="G40" s="52">
        <f>'2a. Reservoir (26.6k AS)'!G9</f>
        <v>0</v>
      </c>
      <c r="H40" s="52">
        <f>'2a. Reservoir (26.6k AS)'!H9</f>
        <v>0</v>
      </c>
      <c r="I40" s="52">
        <f>'2a. Reservoir (26.6k AS)'!I9</f>
        <v>0</v>
      </c>
      <c r="J40" s="52">
        <f>'2a. Reservoir (26.6k AS)'!J9</f>
        <v>0</v>
      </c>
      <c r="K40" s="52">
        <f>'2a. Reservoir (26.6k AS)'!K9</f>
        <v>0</v>
      </c>
      <c r="L40" s="52">
        <f>'2a. Reservoir (26.6k AS)'!L9</f>
        <v>0</v>
      </c>
      <c r="M40" s="52">
        <f>'2a. Reservoir (26.6k AS)'!M9</f>
        <v>0</v>
      </c>
      <c r="N40" s="52">
        <f>'2a. Reservoir (26.6k AS)'!N9</f>
        <v>0</v>
      </c>
      <c r="O40" s="52">
        <f>'2a. Reservoir (26.6k AS)'!O9</f>
        <v>0</v>
      </c>
      <c r="P40" s="52">
        <f>'2a. Reservoir (26.6k AS)'!P9</f>
        <v>0</v>
      </c>
      <c r="Q40" s="52">
        <f>'2a. Reservoir (26.6k AS)'!Q9</f>
        <v>0</v>
      </c>
      <c r="R40" s="52">
        <f>'2a. Reservoir (26.6k AS)'!R9</f>
        <v>0</v>
      </c>
    </row>
    <row r="41" spans="2:18" ht="15.75" thickBot="1" x14ac:dyDescent="0.3">
      <c r="B41" s="53" t="s">
        <v>46</v>
      </c>
      <c r="C41" s="52">
        <f>'2a. Reservoir (26.6k AS)'!C10</f>
        <v>0</v>
      </c>
      <c r="D41" s="52">
        <f>'2a. Reservoir (26.6k AS)'!D10</f>
        <v>0</v>
      </c>
      <c r="E41" s="52">
        <f>'2a. Reservoir (26.6k AS)'!E10</f>
        <v>0</v>
      </c>
      <c r="F41" s="52">
        <f>'2a. Reservoir (26.6k AS)'!F10</f>
        <v>0</v>
      </c>
      <c r="G41" s="52">
        <f>'2a. Reservoir (26.6k AS)'!G10</f>
        <v>0</v>
      </c>
      <c r="H41" s="52">
        <f>'2a. Reservoir (26.6k AS)'!H10</f>
        <v>0</v>
      </c>
      <c r="I41" s="52">
        <f>'2a. Reservoir (26.6k AS)'!I10</f>
        <v>0</v>
      </c>
      <c r="J41" s="52">
        <f>'2a. Reservoir (26.6k AS)'!J10</f>
        <v>0</v>
      </c>
      <c r="K41" s="52">
        <f>'2a. Reservoir (26.6k AS)'!K10</f>
        <v>0</v>
      </c>
      <c r="L41" s="52">
        <f>'2a. Reservoir (26.6k AS)'!L10</f>
        <v>0</v>
      </c>
      <c r="M41" s="52">
        <f>'2a. Reservoir (26.6k AS)'!M10</f>
        <v>0</v>
      </c>
      <c r="N41" s="52">
        <f>'2a. Reservoir (26.6k AS)'!N10</f>
        <v>0</v>
      </c>
      <c r="O41" s="52">
        <f>'2a. Reservoir (26.6k AS)'!O10</f>
        <v>0</v>
      </c>
      <c r="P41" s="52">
        <f>'2a. Reservoir (26.6k AS)'!P10</f>
        <v>0</v>
      </c>
      <c r="Q41" s="52">
        <f>'2a. Reservoir (26.6k AS)'!Q10</f>
        <v>0</v>
      </c>
      <c r="R41" s="52">
        <f>'2a. Reservoir (26.6k AS)'!R10</f>
        <v>0</v>
      </c>
    </row>
    <row r="42" spans="2:18" ht="15.75" thickBot="1" x14ac:dyDescent="0.3">
      <c r="B42" s="53" t="s">
        <v>47</v>
      </c>
      <c r="C42" s="52">
        <f>'2a. Reservoir (26.6k AS)'!C11</f>
        <v>0</v>
      </c>
      <c r="D42" s="52">
        <f>'2a. Reservoir (26.6k AS)'!D11</f>
        <v>0</v>
      </c>
      <c r="E42" s="52">
        <f>'2a. Reservoir (26.6k AS)'!E11</f>
        <v>0</v>
      </c>
      <c r="F42" s="52">
        <f>'2a. Reservoir (26.6k AS)'!F11</f>
        <v>0</v>
      </c>
      <c r="G42" s="52">
        <f>'2a. Reservoir (26.6k AS)'!G11</f>
        <v>0</v>
      </c>
      <c r="H42" s="52">
        <f>'2a. Reservoir (26.6k AS)'!H11</f>
        <v>0</v>
      </c>
      <c r="I42" s="52">
        <f>'2a. Reservoir (26.6k AS)'!I11</f>
        <v>0</v>
      </c>
      <c r="J42" s="52">
        <f>'2a. Reservoir (26.6k AS)'!J11</f>
        <v>0</v>
      </c>
      <c r="K42" s="52">
        <f>'2a. Reservoir (26.6k AS)'!K11</f>
        <v>0</v>
      </c>
      <c r="L42" s="52">
        <f>'2a. Reservoir (26.6k AS)'!L11</f>
        <v>0</v>
      </c>
      <c r="M42" s="52">
        <f>'2a. Reservoir (26.6k AS)'!M11</f>
        <v>0</v>
      </c>
      <c r="N42" s="52">
        <f>'2a. Reservoir (26.6k AS)'!N11</f>
        <v>0</v>
      </c>
      <c r="O42" s="52">
        <f>'2a. Reservoir (26.6k AS)'!O11</f>
        <v>0</v>
      </c>
      <c r="P42" s="52">
        <f>'2a. Reservoir (26.6k AS)'!P11</f>
        <v>0</v>
      </c>
      <c r="Q42" s="52">
        <f>'2a. Reservoir (26.6k AS)'!Q11</f>
        <v>0</v>
      </c>
      <c r="R42" s="52">
        <f>'2a. Reservoir (26.6k AS)'!R11</f>
        <v>0</v>
      </c>
    </row>
    <row r="43" spans="2:18" ht="15.75" thickBot="1" x14ac:dyDescent="0.3">
      <c r="B43" s="53" t="s">
        <v>48</v>
      </c>
      <c r="C43" s="52">
        <f>'2a. Reservoir (26.6k AS)'!C12</f>
        <v>0</v>
      </c>
      <c r="D43" s="52">
        <f>'2a. Reservoir (26.6k AS)'!D12</f>
        <v>0</v>
      </c>
      <c r="E43" s="52">
        <f>'2a. Reservoir (26.6k AS)'!E12</f>
        <v>0</v>
      </c>
      <c r="F43" s="52">
        <f>'2a. Reservoir (26.6k AS)'!F12</f>
        <v>-32.039554950920007</v>
      </c>
      <c r="G43" s="52">
        <f>'2a. Reservoir (26.6k AS)'!G12</f>
        <v>-26.928535676640024</v>
      </c>
      <c r="H43" s="52">
        <f>'2a. Reservoir (26.6k AS)'!H12</f>
        <v>-24.003555858200016</v>
      </c>
      <c r="I43" s="52">
        <f>'2a. Reservoir (26.6k AS)'!I12</f>
        <v>-3.7107606395289565</v>
      </c>
      <c r="J43" s="52">
        <f>'2a. Reservoir (26.6k AS)'!J12</f>
        <v>-5.0451875808032014</v>
      </c>
      <c r="K43" s="52">
        <f>'2a. Reservoir (26.6k AS)'!K12</f>
        <v>-13.38479006118785</v>
      </c>
      <c r="L43" s="52">
        <f>'2a. Reservoir (26.6k AS)'!L12</f>
        <v>-11.956156239547894</v>
      </c>
      <c r="M43" s="52">
        <f>'2a. Reservoir (26.6k AS)'!M12</f>
        <v>-1.6800465475429505</v>
      </c>
      <c r="N43" s="52">
        <f>'2a. Reservoir (26.6k AS)'!N12</f>
        <v>-0.85941750899881697</v>
      </c>
      <c r="O43" s="52">
        <f>'2a. Reservoir (26.6k AS)'!O12</f>
        <v>-2.8859213449500061</v>
      </c>
      <c r="P43" s="52">
        <f>'2a. Reservoir (26.6k AS)'!P12</f>
        <v>-2.1710857631480067</v>
      </c>
      <c r="Q43" s="52">
        <f>'2a. Reservoir (26.6k AS)'!Q12</f>
        <v>-0.4010019147654873</v>
      </c>
      <c r="R43" s="52">
        <f>'2a. Reservoir (26.6k AS)'!R12</f>
        <v>0</v>
      </c>
    </row>
    <row r="44" spans="2:18" ht="15.75" thickBot="1" x14ac:dyDescent="0.3">
      <c r="B44" s="53" t="s">
        <v>70</v>
      </c>
      <c r="C44" s="52">
        <f>'2a. Reservoir (26.6k AS)'!C13</f>
        <v>0</v>
      </c>
      <c r="D44" s="52">
        <f>'2a. Reservoir (26.6k AS)'!D13</f>
        <v>0</v>
      </c>
      <c r="E44" s="52">
        <f>'2a. Reservoir (26.6k AS)'!E13</f>
        <v>0</v>
      </c>
      <c r="F44" s="52">
        <f>'2a. Reservoir (26.6k AS)'!F13</f>
        <v>0</v>
      </c>
      <c r="G44" s="52">
        <f>'2a. Reservoir (26.6k AS)'!G13</f>
        <v>0</v>
      </c>
      <c r="H44" s="52">
        <f>'2a. Reservoir (26.6k AS)'!H13</f>
        <v>0</v>
      </c>
      <c r="I44" s="52">
        <f>'2a. Reservoir (26.6k AS)'!I13</f>
        <v>0</v>
      </c>
      <c r="J44" s="52">
        <f>'2a. Reservoir (26.6k AS)'!J13</f>
        <v>0</v>
      </c>
      <c r="K44" s="52">
        <f>'2a. Reservoir (26.6k AS)'!K13</f>
        <v>-9.2740371511878479</v>
      </c>
      <c r="L44" s="52">
        <f>'2a. Reservoir (26.6k AS)'!L13</f>
        <v>-8.5532218195478933</v>
      </c>
      <c r="M44" s="52">
        <f>'2a. Reservoir (26.6k AS)'!M13</f>
        <v>-1.9234315175429515</v>
      </c>
      <c r="N44" s="52">
        <f>'2a. Reservoir (26.6k AS)'!N13</f>
        <v>0</v>
      </c>
      <c r="O44" s="52">
        <f>'2a. Reservoir (26.6k AS)'!O13</f>
        <v>0</v>
      </c>
      <c r="P44" s="52">
        <f>'2a. Reservoir (26.6k AS)'!P13</f>
        <v>0</v>
      </c>
      <c r="Q44" s="52">
        <f>'2a. Reservoir (26.6k AS)'!Q13</f>
        <v>0</v>
      </c>
      <c r="R44" s="52">
        <f>'2a. Reservoir (26.6k AS)'!R13</f>
        <v>0</v>
      </c>
    </row>
    <row r="45" spans="2:18" ht="15.75" thickBot="1" x14ac:dyDescent="0.3">
      <c r="B45" s="55" t="s">
        <v>49</v>
      </c>
      <c r="C45" s="52">
        <f>'2a. Reservoir (26.6k AS)'!C14</f>
        <v>0</v>
      </c>
      <c r="D45" s="52">
        <f>'2a. Reservoir (26.6k AS)'!D14</f>
        <v>0</v>
      </c>
      <c r="E45" s="52">
        <f>'2a. Reservoir (26.6k AS)'!E14</f>
        <v>0</v>
      </c>
      <c r="F45" s="52">
        <f>'2a. Reservoir (26.6k AS)'!F14</f>
        <v>0</v>
      </c>
      <c r="G45" s="52">
        <f>'2a. Reservoir (26.6k AS)'!G14</f>
        <v>0</v>
      </c>
      <c r="H45" s="52">
        <f>'2a. Reservoir (26.6k AS)'!H14</f>
        <v>0</v>
      </c>
      <c r="I45" s="52">
        <f>'2a. Reservoir (26.6k AS)'!I14</f>
        <v>0</v>
      </c>
      <c r="J45" s="52">
        <f>'2a. Reservoir (26.6k AS)'!J14</f>
        <v>-2.632625560534251</v>
      </c>
      <c r="K45" s="52">
        <f>'2a. Reservoir (26.6k AS)'!K14</f>
        <v>-27.177892192399533</v>
      </c>
      <c r="L45" s="52">
        <f>'2a. Reservoir (26.6k AS)'!L14</f>
        <v>-25.60715330813472</v>
      </c>
      <c r="M45" s="52">
        <f>'2a. Reservoir (26.6k AS)'!M14</f>
        <v>0</v>
      </c>
      <c r="N45" s="52">
        <f>'2a. Reservoir (26.6k AS)'!N14</f>
        <v>0</v>
      </c>
      <c r="O45" s="52">
        <f>'2a. Reservoir (26.6k AS)'!O14</f>
        <v>0</v>
      </c>
      <c r="P45" s="52">
        <f>'2a. Reservoir (26.6k AS)'!P14</f>
        <v>0</v>
      </c>
      <c r="Q45" s="52">
        <f>'2a. Reservoir (26.6k AS)'!Q14</f>
        <v>0</v>
      </c>
      <c r="R45" s="52">
        <f>'2a. Reservoir (26.6k AS)'!R14</f>
        <v>0</v>
      </c>
    </row>
    <row r="47" spans="2:18" ht="15.75" thickBot="1" x14ac:dyDescent="0.3"/>
    <row r="48" spans="2:18" ht="15.75" thickBot="1" x14ac:dyDescent="0.3">
      <c r="B48" s="144" t="s">
        <v>68</v>
      </c>
    </row>
    <row r="49" spans="2:18" x14ac:dyDescent="0.25">
      <c r="B49" s="130" t="s">
        <v>138</v>
      </c>
      <c r="D49" s="159" t="s">
        <v>144</v>
      </c>
      <c r="E49" s="160"/>
      <c r="F49" s="160"/>
      <c r="G49" s="161">
        <f>'2b. Reservoir (28.6k AS)'!X15</f>
        <v>28587.150000000005</v>
      </c>
    </row>
    <row r="50" spans="2:18" ht="15.75" thickBot="1" x14ac:dyDescent="0.3">
      <c r="B50" s="74" t="s">
        <v>117</v>
      </c>
      <c r="D50" s="162" t="s">
        <v>143</v>
      </c>
      <c r="E50" s="163"/>
      <c r="F50" s="163"/>
      <c r="G50" s="164">
        <f>'2b. Reservoir (28.6k AS)'!X16</f>
        <v>-2498.0354651887119</v>
      </c>
    </row>
    <row r="51" spans="2:18" ht="15.75" thickBot="1" x14ac:dyDescent="0.3">
      <c r="B51" s="134" t="s">
        <v>114</v>
      </c>
    </row>
    <row r="52" spans="2:18" ht="15.75" thickBot="1" x14ac:dyDescent="0.3">
      <c r="B52" s="33"/>
      <c r="C52" s="165" t="s">
        <v>29</v>
      </c>
      <c r="D52" s="165"/>
      <c r="E52" s="165" t="s">
        <v>30</v>
      </c>
      <c r="F52" s="165"/>
      <c r="G52" s="165" t="s">
        <v>31</v>
      </c>
      <c r="H52" s="165"/>
      <c r="I52" s="165" t="s">
        <v>32</v>
      </c>
      <c r="J52" s="165"/>
      <c r="K52" s="165" t="s">
        <v>33</v>
      </c>
      <c r="L52" s="165"/>
      <c r="M52" s="165" t="s">
        <v>34</v>
      </c>
      <c r="N52" s="165"/>
      <c r="O52" s="165" t="s">
        <v>35</v>
      </c>
      <c r="P52" s="165"/>
      <c r="Q52" s="165" t="s">
        <v>105</v>
      </c>
      <c r="R52" s="165"/>
    </row>
    <row r="53" spans="2:18" ht="15.75" thickBot="1" x14ac:dyDescent="0.3">
      <c r="B53" s="51" t="s">
        <v>43</v>
      </c>
      <c r="C53" s="52">
        <f>'2b. Reservoir (28.6k AS)'!C$7</f>
        <v>0</v>
      </c>
      <c r="D53" s="52">
        <f>'2b. Reservoir (28.6k AS)'!D$7</f>
        <v>0</v>
      </c>
      <c r="E53" s="52">
        <f>'2b. Reservoir (28.6k AS)'!E$7</f>
        <v>0</v>
      </c>
      <c r="F53" s="52">
        <f>'2b. Reservoir (28.6k AS)'!F$7</f>
        <v>0</v>
      </c>
      <c r="G53" s="52">
        <f>'2b. Reservoir (28.6k AS)'!G$7</f>
        <v>0</v>
      </c>
      <c r="H53" s="52">
        <f>'2b. Reservoir (28.6k AS)'!H$7</f>
        <v>0</v>
      </c>
      <c r="I53" s="52">
        <f>'2b. Reservoir (28.6k AS)'!I$7</f>
        <v>0</v>
      </c>
      <c r="J53" s="52">
        <f>'2b. Reservoir (28.6k AS)'!J$7</f>
        <v>0</v>
      </c>
      <c r="K53" s="52">
        <f>'2b. Reservoir (28.6k AS)'!K$7</f>
        <v>0</v>
      </c>
      <c r="L53" s="52">
        <f>'2b. Reservoir (28.6k AS)'!L$7</f>
        <v>0</v>
      </c>
      <c r="M53" s="52">
        <f>'2b. Reservoir (28.6k AS)'!M$7</f>
        <v>0</v>
      </c>
      <c r="N53" s="52">
        <f>'2b. Reservoir (28.6k AS)'!N$7</f>
        <v>0</v>
      </c>
      <c r="O53" s="52">
        <f>'2b. Reservoir (28.6k AS)'!O$7</f>
        <v>0</v>
      </c>
      <c r="P53" s="52">
        <f>'2b. Reservoir (28.6k AS)'!P$7</f>
        <v>0</v>
      </c>
      <c r="Q53" s="52">
        <f>'2b. Reservoir (28.6k AS)'!Q$7</f>
        <v>0</v>
      </c>
      <c r="R53" s="52">
        <f>'2b. Reservoir (28.6k AS)'!R$7</f>
        <v>0</v>
      </c>
    </row>
    <row r="54" spans="2:18" ht="15.75" thickBot="1" x14ac:dyDescent="0.3">
      <c r="B54" s="53" t="s">
        <v>44</v>
      </c>
      <c r="C54" s="52">
        <f>'2b. Reservoir (28.6k AS)'!C$8</f>
        <v>0</v>
      </c>
      <c r="D54" s="52">
        <f>'2b. Reservoir (28.6k AS)'!D$8</f>
        <v>0</v>
      </c>
      <c r="E54" s="52">
        <f>'2b. Reservoir (28.6k AS)'!E$8</f>
        <v>0</v>
      </c>
      <c r="F54" s="52">
        <f>'2b. Reservoir (28.6k AS)'!F$8</f>
        <v>0</v>
      </c>
      <c r="G54" s="52">
        <f>'2b. Reservoir (28.6k AS)'!G$8</f>
        <v>0</v>
      </c>
      <c r="H54" s="52">
        <f>'2b. Reservoir (28.6k AS)'!H$8</f>
        <v>0</v>
      </c>
      <c r="I54" s="52">
        <f>'2b. Reservoir (28.6k AS)'!I$8</f>
        <v>0</v>
      </c>
      <c r="J54" s="52">
        <f>'2b. Reservoir (28.6k AS)'!J$8</f>
        <v>0</v>
      </c>
      <c r="K54" s="52">
        <f>'2b. Reservoir (28.6k AS)'!K$8</f>
        <v>0</v>
      </c>
      <c r="L54" s="52">
        <f>'2b. Reservoir (28.6k AS)'!L$8</f>
        <v>0</v>
      </c>
      <c r="M54" s="52">
        <f>'2b. Reservoir (28.6k AS)'!M$8</f>
        <v>0</v>
      </c>
      <c r="N54" s="52">
        <f>'2b. Reservoir (28.6k AS)'!N$8</f>
        <v>0</v>
      </c>
      <c r="O54" s="52">
        <f>'2b. Reservoir (28.6k AS)'!O$8</f>
        <v>0</v>
      </c>
      <c r="P54" s="52">
        <f>'2b. Reservoir (28.6k AS)'!P$8</f>
        <v>0</v>
      </c>
      <c r="Q54" s="52">
        <f>'2b. Reservoir (28.6k AS)'!Q$8</f>
        <v>0</v>
      </c>
      <c r="R54" s="52">
        <f>'2b. Reservoir (28.6k AS)'!R$8</f>
        <v>0</v>
      </c>
    </row>
    <row r="55" spans="2:18" ht="15.75" thickBot="1" x14ac:dyDescent="0.3">
      <c r="B55" s="53" t="s">
        <v>45</v>
      </c>
      <c r="C55" s="52">
        <f>'2b. Reservoir (28.6k AS)'!C$9</f>
        <v>0</v>
      </c>
      <c r="D55" s="52">
        <f>'2b. Reservoir (28.6k AS)'!D$9</f>
        <v>0</v>
      </c>
      <c r="E55" s="52">
        <f>'2b. Reservoir (28.6k AS)'!E$9</f>
        <v>0</v>
      </c>
      <c r="F55" s="52">
        <f>'2b. Reservoir (28.6k AS)'!F$9</f>
        <v>0</v>
      </c>
      <c r="G55" s="52">
        <f>'2b. Reservoir (28.6k AS)'!G$9</f>
        <v>0</v>
      </c>
      <c r="H55" s="52">
        <f>'2b. Reservoir (28.6k AS)'!H$9</f>
        <v>0</v>
      </c>
      <c r="I55" s="52">
        <f>'2b. Reservoir (28.6k AS)'!I$9</f>
        <v>0</v>
      </c>
      <c r="J55" s="52">
        <f>'2b. Reservoir (28.6k AS)'!J$9</f>
        <v>0</v>
      </c>
      <c r="K55" s="52">
        <f>'2b. Reservoir (28.6k AS)'!K$9</f>
        <v>0</v>
      </c>
      <c r="L55" s="52">
        <f>'2b. Reservoir (28.6k AS)'!L$9</f>
        <v>0</v>
      </c>
      <c r="M55" s="52">
        <f>'2b. Reservoir (28.6k AS)'!M$9</f>
        <v>0</v>
      </c>
      <c r="N55" s="52">
        <f>'2b. Reservoir (28.6k AS)'!N$9</f>
        <v>0</v>
      </c>
      <c r="O55" s="52">
        <f>'2b. Reservoir (28.6k AS)'!O$9</f>
        <v>0</v>
      </c>
      <c r="P55" s="52">
        <f>'2b. Reservoir (28.6k AS)'!P$9</f>
        <v>0</v>
      </c>
      <c r="Q55" s="52">
        <f>'2b. Reservoir (28.6k AS)'!Q$9</f>
        <v>0</v>
      </c>
      <c r="R55" s="52">
        <f>'2b. Reservoir (28.6k AS)'!R$9</f>
        <v>0</v>
      </c>
    </row>
    <row r="56" spans="2:18" ht="15.75" thickBot="1" x14ac:dyDescent="0.3">
      <c r="B56" s="53" t="s">
        <v>46</v>
      </c>
      <c r="C56" s="52">
        <f>'2b. Reservoir (28.6k AS)'!C$10</f>
        <v>0</v>
      </c>
      <c r="D56" s="52">
        <f>'2b. Reservoir (28.6k AS)'!D$10</f>
        <v>0</v>
      </c>
      <c r="E56" s="52">
        <f>'2b. Reservoir (28.6k AS)'!E$10</f>
        <v>0</v>
      </c>
      <c r="F56" s="52">
        <f>'2b. Reservoir (28.6k AS)'!F$10</f>
        <v>0</v>
      </c>
      <c r="G56" s="52">
        <f>'2b. Reservoir (28.6k AS)'!G$10</f>
        <v>0</v>
      </c>
      <c r="H56" s="52">
        <f>'2b. Reservoir (28.6k AS)'!H$10</f>
        <v>0</v>
      </c>
      <c r="I56" s="52">
        <f>'2b. Reservoir (28.6k AS)'!I$10</f>
        <v>0</v>
      </c>
      <c r="J56" s="52">
        <f>'2b. Reservoir (28.6k AS)'!J$10</f>
        <v>0</v>
      </c>
      <c r="K56" s="52">
        <f>'2b. Reservoir (28.6k AS)'!K$10</f>
        <v>0</v>
      </c>
      <c r="L56" s="52">
        <f>'2b. Reservoir (28.6k AS)'!L$10</f>
        <v>0</v>
      </c>
      <c r="M56" s="52">
        <f>'2b. Reservoir (28.6k AS)'!M$10</f>
        <v>0</v>
      </c>
      <c r="N56" s="52">
        <f>'2b. Reservoir (28.6k AS)'!N$10</f>
        <v>0</v>
      </c>
      <c r="O56" s="52">
        <f>'2b. Reservoir (28.6k AS)'!O$10</f>
        <v>0</v>
      </c>
      <c r="P56" s="52">
        <f>'2b. Reservoir (28.6k AS)'!P$10</f>
        <v>0</v>
      </c>
      <c r="Q56" s="52">
        <f>'2b. Reservoir (28.6k AS)'!Q$10</f>
        <v>0</v>
      </c>
      <c r="R56" s="52">
        <f>'2b. Reservoir (28.6k AS)'!R$10</f>
        <v>0</v>
      </c>
    </row>
    <row r="57" spans="2:18" ht="15.75" thickBot="1" x14ac:dyDescent="0.3">
      <c r="B57" s="53" t="s">
        <v>47</v>
      </c>
      <c r="C57" s="52">
        <f>'2b. Reservoir (28.6k AS)'!C$11</f>
        <v>0</v>
      </c>
      <c r="D57" s="52">
        <f>'2b. Reservoir (28.6k AS)'!D$11</f>
        <v>0</v>
      </c>
      <c r="E57" s="52">
        <f>'2b. Reservoir (28.6k AS)'!E$11</f>
        <v>0</v>
      </c>
      <c r="F57" s="52">
        <f>'2b. Reservoir (28.6k AS)'!F$11</f>
        <v>0</v>
      </c>
      <c r="G57" s="52">
        <f>'2b. Reservoir (28.6k AS)'!G$11</f>
        <v>0</v>
      </c>
      <c r="H57" s="52">
        <f>'2b. Reservoir (28.6k AS)'!H$11</f>
        <v>0</v>
      </c>
      <c r="I57" s="52">
        <f>'2b. Reservoir (28.6k AS)'!I$11</f>
        <v>0</v>
      </c>
      <c r="J57" s="52">
        <f>'2b. Reservoir (28.6k AS)'!J$11</f>
        <v>0</v>
      </c>
      <c r="K57" s="52">
        <f>'2b. Reservoir (28.6k AS)'!K$11</f>
        <v>0</v>
      </c>
      <c r="L57" s="52">
        <f>'2b. Reservoir (28.6k AS)'!L$11</f>
        <v>0</v>
      </c>
      <c r="M57" s="52">
        <f>'2b. Reservoir (28.6k AS)'!M$11</f>
        <v>0</v>
      </c>
      <c r="N57" s="52">
        <f>'2b. Reservoir (28.6k AS)'!N$11</f>
        <v>0</v>
      </c>
      <c r="O57" s="52">
        <f>'2b. Reservoir (28.6k AS)'!O$11</f>
        <v>0</v>
      </c>
      <c r="P57" s="52">
        <f>'2b. Reservoir (28.6k AS)'!P$11</f>
        <v>0</v>
      </c>
      <c r="Q57" s="52">
        <f>'2b. Reservoir (28.6k AS)'!Q$11</f>
        <v>0</v>
      </c>
      <c r="R57" s="52">
        <f>'2b. Reservoir (28.6k AS)'!R$11</f>
        <v>0</v>
      </c>
    </row>
    <row r="58" spans="2:18" ht="15.75" thickBot="1" x14ac:dyDescent="0.3">
      <c r="B58" s="53" t="s">
        <v>48</v>
      </c>
      <c r="C58" s="52">
        <f>'2b. Reservoir (28.6k AS)'!C$12</f>
        <v>0</v>
      </c>
      <c r="D58" s="52">
        <f>'2b. Reservoir (28.6k AS)'!D$12</f>
        <v>0</v>
      </c>
      <c r="E58" s="52">
        <f>'2b. Reservoir (28.6k AS)'!E$12</f>
        <v>0</v>
      </c>
      <c r="F58" s="52">
        <f>'2b. Reservoir (28.6k AS)'!F$12</f>
        <v>0</v>
      </c>
      <c r="G58" s="52">
        <f>'2b. Reservoir (28.6k AS)'!G$12</f>
        <v>-11.953285676640007</v>
      </c>
      <c r="H58" s="52">
        <f>'2b. Reservoir (28.6k AS)'!H$12</f>
        <v>-3.5495558582000228</v>
      </c>
      <c r="I58" s="52">
        <f>'2b. Reservoir (28.6k AS)'!I$12</f>
        <v>0</v>
      </c>
      <c r="J58" s="52">
        <f>'2b. Reservoir (28.6k AS)'!J$12</f>
        <v>0</v>
      </c>
      <c r="K58" s="52">
        <f>'2b. Reservoir (28.6k AS)'!K$12</f>
        <v>-2.2127900611878459</v>
      </c>
      <c r="L58" s="52">
        <f>'2b. Reservoir (28.6k AS)'!L$12</f>
        <v>-11.956156239547894</v>
      </c>
      <c r="M58" s="52">
        <f>'2b. Reservoir (28.6k AS)'!M$12</f>
        <v>0</v>
      </c>
      <c r="N58" s="52">
        <f>'2b. Reservoir (28.6k AS)'!N$12</f>
        <v>0</v>
      </c>
      <c r="O58" s="52">
        <f>'2b. Reservoir (28.6k AS)'!O$12</f>
        <v>0</v>
      </c>
      <c r="P58" s="52">
        <f>'2b. Reservoir (28.6k AS)'!P$12</f>
        <v>0</v>
      </c>
      <c r="Q58" s="52">
        <f>'2b. Reservoir (28.6k AS)'!Q$12</f>
        <v>0</v>
      </c>
      <c r="R58" s="52">
        <f>'2b. Reservoir (28.6k AS)'!R$12</f>
        <v>0</v>
      </c>
    </row>
    <row r="59" spans="2:18" ht="15.75" thickBot="1" x14ac:dyDescent="0.3">
      <c r="B59" s="53" t="s">
        <v>70</v>
      </c>
      <c r="C59" s="52">
        <f>'2b. Reservoir (28.6k AS)'!C$13</f>
        <v>0</v>
      </c>
      <c r="D59" s="52">
        <f>'2b. Reservoir (28.6k AS)'!D$13</f>
        <v>0</v>
      </c>
      <c r="E59" s="52">
        <f>'2b. Reservoir (28.6k AS)'!E$13</f>
        <v>0</v>
      </c>
      <c r="F59" s="52">
        <f>'2b. Reservoir (28.6k AS)'!F$13</f>
        <v>0</v>
      </c>
      <c r="G59" s="52">
        <f>'2b. Reservoir (28.6k AS)'!G$13</f>
        <v>0</v>
      </c>
      <c r="H59" s="52">
        <f>'2b. Reservoir (28.6k AS)'!H$13</f>
        <v>0</v>
      </c>
      <c r="I59" s="52">
        <f>'2b. Reservoir (28.6k AS)'!I$13</f>
        <v>0</v>
      </c>
      <c r="J59" s="52">
        <f>'2b. Reservoir (28.6k AS)'!J$13</f>
        <v>0</v>
      </c>
      <c r="K59" s="52">
        <f>'2b. Reservoir (28.6k AS)'!K$13</f>
        <v>0</v>
      </c>
      <c r="L59" s="52">
        <f>'2b. Reservoir (28.6k AS)'!L$13</f>
        <v>-8.5532218195478933</v>
      </c>
      <c r="M59" s="52">
        <f>'2b. Reservoir (28.6k AS)'!M$13</f>
        <v>0</v>
      </c>
      <c r="N59" s="52">
        <f>'2b. Reservoir (28.6k AS)'!N$13</f>
        <v>0</v>
      </c>
      <c r="O59" s="52">
        <f>'2b. Reservoir (28.6k AS)'!O$13</f>
        <v>0</v>
      </c>
      <c r="P59" s="52">
        <f>'2b. Reservoir (28.6k AS)'!P$13</f>
        <v>0</v>
      </c>
      <c r="Q59" s="52">
        <f>'2b. Reservoir (28.6k AS)'!Q$13</f>
        <v>0</v>
      </c>
      <c r="R59" s="52">
        <f>'2b. Reservoir (28.6k AS)'!R$13</f>
        <v>0</v>
      </c>
    </row>
    <row r="60" spans="2:18" ht="15.75" thickBot="1" x14ac:dyDescent="0.3">
      <c r="B60" s="55" t="s">
        <v>49</v>
      </c>
      <c r="C60" s="52">
        <f>'2b. Reservoir (28.6k AS)'!C$14</f>
        <v>0</v>
      </c>
      <c r="D60" s="52">
        <f>'2b. Reservoir (28.6k AS)'!D$14</f>
        <v>0</v>
      </c>
      <c r="E60" s="52">
        <f>'2b. Reservoir (28.6k AS)'!E$14</f>
        <v>0</v>
      </c>
      <c r="F60" s="52">
        <f>'2b. Reservoir (28.6k AS)'!F$14</f>
        <v>0</v>
      </c>
      <c r="G60" s="52">
        <f>'2b. Reservoir (28.6k AS)'!G$14</f>
        <v>0</v>
      </c>
      <c r="H60" s="52">
        <f>'2b. Reservoir (28.6k AS)'!H$14</f>
        <v>0</v>
      </c>
      <c r="I60" s="52">
        <f>'2b. Reservoir (28.6k AS)'!I$14</f>
        <v>0</v>
      </c>
      <c r="J60" s="52">
        <f>'2b. Reservoir (28.6k AS)'!J$14</f>
        <v>0</v>
      </c>
      <c r="K60" s="52">
        <f>'2b. Reservoir (28.6k AS)'!K$14</f>
        <v>-20.128360192399526</v>
      </c>
      <c r="L60" s="52">
        <f>'2b. Reservoir (28.6k AS)'!L$14</f>
        <v>-25.60715330813472</v>
      </c>
      <c r="M60" s="52">
        <f>'2b. Reservoir (28.6k AS)'!M$14</f>
        <v>0</v>
      </c>
      <c r="N60" s="52">
        <f>'2b. Reservoir (28.6k AS)'!N$14</f>
        <v>0</v>
      </c>
      <c r="O60" s="52">
        <f>'2b. Reservoir (28.6k AS)'!O$14</f>
        <v>0</v>
      </c>
      <c r="P60" s="52">
        <f>'2b. Reservoir (28.6k AS)'!P$14</f>
        <v>0</v>
      </c>
      <c r="Q60" s="52">
        <f>'2b. Reservoir (28.6k AS)'!Q$14</f>
        <v>0</v>
      </c>
      <c r="R60" s="52">
        <f>'2b. Reservoir (28.6k AS)'!R$14</f>
        <v>0</v>
      </c>
    </row>
    <row r="62" spans="2:18" ht="15.75" thickBot="1" x14ac:dyDescent="0.3"/>
    <row r="63" spans="2:18" ht="15.75" thickBot="1" x14ac:dyDescent="0.3">
      <c r="B63" s="144" t="s">
        <v>68</v>
      </c>
    </row>
    <row r="64" spans="2:18" x14ac:dyDescent="0.25">
      <c r="B64" s="130" t="s">
        <v>148</v>
      </c>
      <c r="D64" s="159" t="s">
        <v>144</v>
      </c>
      <c r="E64" s="160"/>
      <c r="F64" s="160"/>
      <c r="G64" s="161">
        <f>'2c. Reservoir (30k AS)'!X15</f>
        <v>29985.517500000002</v>
      </c>
    </row>
    <row r="65" spans="2:18" ht="15.75" thickBot="1" x14ac:dyDescent="0.3">
      <c r="B65" s="74" t="s">
        <v>117</v>
      </c>
      <c r="D65" s="162" t="s">
        <v>143</v>
      </c>
      <c r="E65" s="163"/>
      <c r="F65" s="163"/>
      <c r="G65" s="164">
        <f>'2c. Reservoir (30k AS)'!X16</f>
        <v>-907.04415721574162</v>
      </c>
    </row>
    <row r="66" spans="2:18" ht="15.75" thickBot="1" x14ac:dyDescent="0.3">
      <c r="B66" s="134" t="s">
        <v>114</v>
      </c>
    </row>
    <row r="67" spans="2:18" ht="15.75" thickBot="1" x14ac:dyDescent="0.3">
      <c r="B67" s="33"/>
      <c r="C67" s="165" t="s">
        <v>29</v>
      </c>
      <c r="D67" s="165"/>
      <c r="E67" s="165" t="s">
        <v>30</v>
      </c>
      <c r="F67" s="165"/>
      <c r="G67" s="165" t="s">
        <v>31</v>
      </c>
      <c r="H67" s="165"/>
      <c r="I67" s="165" t="s">
        <v>32</v>
      </c>
      <c r="J67" s="165"/>
      <c r="K67" s="165" t="s">
        <v>33</v>
      </c>
      <c r="L67" s="165"/>
      <c r="M67" s="165" t="s">
        <v>34</v>
      </c>
      <c r="N67" s="165"/>
      <c r="O67" s="165" t="s">
        <v>35</v>
      </c>
      <c r="P67" s="165"/>
      <c r="Q67" s="165" t="s">
        <v>105</v>
      </c>
      <c r="R67" s="165"/>
    </row>
    <row r="68" spans="2:18" ht="15.75" thickBot="1" x14ac:dyDescent="0.3">
      <c r="B68" s="51" t="s">
        <v>43</v>
      </c>
      <c r="C68" s="52">
        <f>'2c. Reservoir (30k AS)'!C7</f>
        <v>0</v>
      </c>
      <c r="D68" s="52">
        <f>'2c. Reservoir (30k AS)'!D7</f>
        <v>0</v>
      </c>
      <c r="E68" s="52">
        <f>'2c. Reservoir (30k AS)'!E7</f>
        <v>0</v>
      </c>
      <c r="F68" s="52">
        <f>'2c. Reservoir (30k AS)'!F7</f>
        <v>0</v>
      </c>
      <c r="G68" s="52">
        <f>'2c. Reservoir (30k AS)'!G7</f>
        <v>0</v>
      </c>
      <c r="H68" s="52">
        <f>'2c. Reservoir (30k AS)'!H7</f>
        <v>0</v>
      </c>
      <c r="I68" s="52">
        <f>'2c. Reservoir (30k AS)'!I7</f>
        <v>0</v>
      </c>
      <c r="J68" s="52">
        <f>'2c. Reservoir (30k AS)'!J7</f>
        <v>0</v>
      </c>
      <c r="K68" s="52">
        <f>'2c. Reservoir (30k AS)'!K7</f>
        <v>0</v>
      </c>
      <c r="L68" s="52">
        <f>'2c. Reservoir (30k AS)'!L7</f>
        <v>0</v>
      </c>
      <c r="M68" s="52">
        <f>'2c. Reservoir (30k AS)'!M7</f>
        <v>0</v>
      </c>
      <c r="N68" s="52">
        <f>'2c. Reservoir (30k AS)'!N7</f>
        <v>0</v>
      </c>
      <c r="O68" s="52">
        <f>'2c. Reservoir (30k AS)'!O7</f>
        <v>0</v>
      </c>
      <c r="P68" s="52">
        <f>'2c. Reservoir (30k AS)'!P7</f>
        <v>0</v>
      </c>
      <c r="Q68" s="52">
        <f>'2c. Reservoir (30k AS)'!Q7</f>
        <v>0</v>
      </c>
      <c r="R68" s="52">
        <f>'2c. Reservoir (30k AS)'!R7</f>
        <v>0</v>
      </c>
    </row>
    <row r="69" spans="2:18" ht="15.75" thickBot="1" x14ac:dyDescent="0.3">
      <c r="B69" s="53" t="s">
        <v>44</v>
      </c>
      <c r="C69" s="52">
        <f>'2c. Reservoir (30k AS)'!C8</f>
        <v>0</v>
      </c>
      <c r="D69" s="52">
        <f>'2c. Reservoir (30k AS)'!D8</f>
        <v>0</v>
      </c>
      <c r="E69" s="52">
        <f>'2c. Reservoir (30k AS)'!E8</f>
        <v>0</v>
      </c>
      <c r="F69" s="52">
        <f>'2c. Reservoir (30k AS)'!F8</f>
        <v>0</v>
      </c>
      <c r="G69" s="52">
        <f>'2c. Reservoir (30k AS)'!G8</f>
        <v>0</v>
      </c>
      <c r="H69" s="52">
        <f>'2c. Reservoir (30k AS)'!H8</f>
        <v>0</v>
      </c>
      <c r="I69" s="52">
        <f>'2c. Reservoir (30k AS)'!I8</f>
        <v>0</v>
      </c>
      <c r="J69" s="52">
        <f>'2c. Reservoir (30k AS)'!J8</f>
        <v>0</v>
      </c>
      <c r="K69" s="52">
        <f>'2c. Reservoir (30k AS)'!K8</f>
        <v>0</v>
      </c>
      <c r="L69" s="52">
        <f>'2c. Reservoir (30k AS)'!L8</f>
        <v>0</v>
      </c>
      <c r="M69" s="52">
        <f>'2c. Reservoir (30k AS)'!M8</f>
        <v>0</v>
      </c>
      <c r="N69" s="52">
        <f>'2c. Reservoir (30k AS)'!N8</f>
        <v>0</v>
      </c>
      <c r="O69" s="52">
        <f>'2c. Reservoir (30k AS)'!O8</f>
        <v>0</v>
      </c>
      <c r="P69" s="52">
        <f>'2c. Reservoir (30k AS)'!P8</f>
        <v>0</v>
      </c>
      <c r="Q69" s="52">
        <f>'2c. Reservoir (30k AS)'!Q8</f>
        <v>0</v>
      </c>
      <c r="R69" s="52">
        <f>'2c. Reservoir (30k AS)'!R8</f>
        <v>0</v>
      </c>
    </row>
    <row r="70" spans="2:18" ht="15.75" thickBot="1" x14ac:dyDescent="0.3">
      <c r="B70" s="53" t="s">
        <v>45</v>
      </c>
      <c r="C70" s="52">
        <f>'2c. Reservoir (30k AS)'!C9</f>
        <v>0</v>
      </c>
      <c r="D70" s="52">
        <f>'2c. Reservoir (30k AS)'!D9</f>
        <v>0</v>
      </c>
      <c r="E70" s="52">
        <f>'2c. Reservoir (30k AS)'!E9</f>
        <v>0</v>
      </c>
      <c r="F70" s="52">
        <f>'2c. Reservoir (30k AS)'!F9</f>
        <v>0</v>
      </c>
      <c r="G70" s="52">
        <f>'2c. Reservoir (30k AS)'!G9</f>
        <v>0</v>
      </c>
      <c r="H70" s="52">
        <f>'2c. Reservoir (30k AS)'!H9</f>
        <v>0</v>
      </c>
      <c r="I70" s="52">
        <f>'2c. Reservoir (30k AS)'!I9</f>
        <v>0</v>
      </c>
      <c r="J70" s="52">
        <f>'2c. Reservoir (30k AS)'!J9</f>
        <v>0</v>
      </c>
      <c r="K70" s="52">
        <f>'2c. Reservoir (30k AS)'!K9</f>
        <v>0</v>
      </c>
      <c r="L70" s="52">
        <f>'2c. Reservoir (30k AS)'!L9</f>
        <v>0</v>
      </c>
      <c r="M70" s="52">
        <f>'2c. Reservoir (30k AS)'!M9</f>
        <v>0</v>
      </c>
      <c r="N70" s="52">
        <f>'2c. Reservoir (30k AS)'!N9</f>
        <v>0</v>
      </c>
      <c r="O70" s="52">
        <f>'2c. Reservoir (30k AS)'!O9</f>
        <v>0</v>
      </c>
      <c r="P70" s="52">
        <f>'2c. Reservoir (30k AS)'!P9</f>
        <v>0</v>
      </c>
      <c r="Q70" s="52">
        <f>'2c. Reservoir (30k AS)'!Q9</f>
        <v>0</v>
      </c>
      <c r="R70" s="52">
        <f>'2c. Reservoir (30k AS)'!R9</f>
        <v>0</v>
      </c>
    </row>
    <row r="71" spans="2:18" ht="15.75" thickBot="1" x14ac:dyDescent="0.3">
      <c r="B71" s="53" t="s">
        <v>46</v>
      </c>
      <c r="C71" s="52">
        <f>'2c. Reservoir (30k AS)'!C10</f>
        <v>0</v>
      </c>
      <c r="D71" s="52">
        <f>'2c. Reservoir (30k AS)'!D10</f>
        <v>0</v>
      </c>
      <c r="E71" s="52">
        <f>'2c. Reservoir (30k AS)'!E10</f>
        <v>0</v>
      </c>
      <c r="F71" s="52">
        <f>'2c. Reservoir (30k AS)'!F10</f>
        <v>0</v>
      </c>
      <c r="G71" s="52">
        <f>'2c. Reservoir (30k AS)'!G10</f>
        <v>0</v>
      </c>
      <c r="H71" s="52">
        <f>'2c. Reservoir (30k AS)'!H10</f>
        <v>0</v>
      </c>
      <c r="I71" s="52">
        <f>'2c. Reservoir (30k AS)'!I10</f>
        <v>0</v>
      </c>
      <c r="J71" s="52">
        <f>'2c. Reservoir (30k AS)'!J10</f>
        <v>0</v>
      </c>
      <c r="K71" s="52">
        <f>'2c. Reservoir (30k AS)'!K10</f>
        <v>0</v>
      </c>
      <c r="L71" s="52">
        <f>'2c. Reservoir (30k AS)'!L10</f>
        <v>0</v>
      </c>
      <c r="M71" s="52">
        <f>'2c. Reservoir (30k AS)'!M10</f>
        <v>0</v>
      </c>
      <c r="N71" s="52">
        <f>'2c. Reservoir (30k AS)'!N10</f>
        <v>0</v>
      </c>
      <c r="O71" s="52">
        <f>'2c. Reservoir (30k AS)'!O10</f>
        <v>0</v>
      </c>
      <c r="P71" s="52">
        <f>'2c. Reservoir (30k AS)'!P10</f>
        <v>0</v>
      </c>
      <c r="Q71" s="52">
        <f>'2c. Reservoir (30k AS)'!Q10</f>
        <v>0</v>
      </c>
      <c r="R71" s="52">
        <f>'2c. Reservoir (30k AS)'!R10</f>
        <v>0</v>
      </c>
    </row>
    <row r="72" spans="2:18" ht="15.75" thickBot="1" x14ac:dyDescent="0.3">
      <c r="B72" s="53" t="s">
        <v>47</v>
      </c>
      <c r="C72" s="52">
        <f>'2c. Reservoir (30k AS)'!C11</f>
        <v>0</v>
      </c>
      <c r="D72" s="52">
        <f>'2b. Reservoir (28.6k AS)'!D11</f>
        <v>0</v>
      </c>
      <c r="E72" s="52">
        <f>'2b. Reservoir (28.6k AS)'!E11</f>
        <v>0</v>
      </c>
      <c r="F72" s="52">
        <f>'2b. Reservoir (28.6k AS)'!F11</f>
        <v>0</v>
      </c>
      <c r="G72" s="52">
        <f>'2b. Reservoir (28.6k AS)'!G11</f>
        <v>0</v>
      </c>
      <c r="H72" s="52">
        <f>'2b. Reservoir (28.6k AS)'!H11</f>
        <v>0</v>
      </c>
      <c r="I72" s="52">
        <f>'2b. Reservoir (28.6k AS)'!I11</f>
        <v>0</v>
      </c>
      <c r="J72" s="52">
        <f>'2b. Reservoir (28.6k AS)'!J11</f>
        <v>0</v>
      </c>
      <c r="K72" s="52">
        <f>'2b. Reservoir (28.6k AS)'!K11</f>
        <v>0</v>
      </c>
      <c r="L72" s="52">
        <f>'2b. Reservoir (28.6k AS)'!L11</f>
        <v>0</v>
      </c>
      <c r="M72" s="52">
        <f>'2b. Reservoir (28.6k AS)'!M11</f>
        <v>0</v>
      </c>
      <c r="N72" s="52">
        <f>'2b. Reservoir (28.6k AS)'!N11</f>
        <v>0</v>
      </c>
      <c r="O72" s="52">
        <f>'2b. Reservoir (28.6k AS)'!O11</f>
        <v>0</v>
      </c>
      <c r="P72" s="52">
        <f>'2b. Reservoir (28.6k AS)'!P11</f>
        <v>0</v>
      </c>
      <c r="Q72" s="52">
        <f>'2b. Reservoir (28.6k AS)'!Q11</f>
        <v>0</v>
      </c>
      <c r="R72" s="52">
        <f>'2b. Reservoir (28.6k AS)'!R11</f>
        <v>0</v>
      </c>
    </row>
    <row r="73" spans="2:18" ht="15.75" thickBot="1" x14ac:dyDescent="0.3">
      <c r="B73" s="53" t="s">
        <v>48</v>
      </c>
      <c r="C73" s="52">
        <f>'2c. Reservoir (30k AS)'!C12</f>
        <v>0</v>
      </c>
      <c r="D73" s="52">
        <f>'2c. Reservoir (30k AS)'!D12</f>
        <v>0</v>
      </c>
      <c r="E73" s="52">
        <f>'2c. Reservoir (30k AS)'!E12</f>
        <v>0</v>
      </c>
      <c r="F73" s="52">
        <f>'2c. Reservoir (30k AS)'!F12</f>
        <v>0</v>
      </c>
      <c r="G73" s="52">
        <f>'2c. Reservoir (30k AS)'!G12</f>
        <v>0</v>
      </c>
      <c r="H73" s="52">
        <f>'2c. Reservoir (30k AS)'!H12</f>
        <v>-3.5495558582000228</v>
      </c>
      <c r="I73" s="52">
        <f>'2c. Reservoir (30k AS)'!I12</f>
        <v>0</v>
      </c>
      <c r="J73" s="52">
        <f>'2c. Reservoir (30k AS)'!J12</f>
        <v>0</v>
      </c>
      <c r="K73" s="52">
        <f>'2c. Reservoir (30k AS)'!K12</f>
        <v>0</v>
      </c>
      <c r="L73" s="52">
        <f>'2c. Reservoir (30k AS)'!L12</f>
        <v>0</v>
      </c>
      <c r="M73" s="52">
        <f>'2c. Reservoir (30k AS)'!M12</f>
        <v>0</v>
      </c>
      <c r="N73" s="52">
        <f>'2c. Reservoir (30k AS)'!N12</f>
        <v>0</v>
      </c>
      <c r="O73" s="52">
        <f>'2c. Reservoir (30k AS)'!O12</f>
        <v>0</v>
      </c>
      <c r="P73" s="52">
        <f>'2c. Reservoir (30k AS)'!P12</f>
        <v>0</v>
      </c>
      <c r="Q73" s="52">
        <f>'2c. Reservoir (30k AS)'!Q12</f>
        <v>0</v>
      </c>
      <c r="R73" s="52">
        <f>'2c. Reservoir (30k AS)'!R12</f>
        <v>0</v>
      </c>
    </row>
    <row r="74" spans="2:18" ht="15.75" thickBot="1" x14ac:dyDescent="0.3">
      <c r="B74" s="53" t="s">
        <v>70</v>
      </c>
      <c r="C74" s="52">
        <f>'2c. Reservoir (30k AS)'!C13</f>
        <v>0</v>
      </c>
      <c r="D74" s="52">
        <f>'2c. Reservoir (30k AS)'!D13</f>
        <v>0</v>
      </c>
      <c r="E74" s="52">
        <f>'2c. Reservoir (30k AS)'!E13</f>
        <v>0</v>
      </c>
      <c r="F74" s="52">
        <f>'2c. Reservoir (30k AS)'!F13</f>
        <v>0</v>
      </c>
      <c r="G74" s="52">
        <f>'2c. Reservoir (30k AS)'!G13</f>
        <v>0</v>
      </c>
      <c r="H74" s="52">
        <f>'2c. Reservoir (30k AS)'!H13</f>
        <v>0</v>
      </c>
      <c r="I74" s="52">
        <f>'2c. Reservoir (30k AS)'!I13</f>
        <v>0</v>
      </c>
      <c r="J74" s="52">
        <f>'2c. Reservoir (30k AS)'!J13</f>
        <v>0</v>
      </c>
      <c r="K74" s="52">
        <f>'2c. Reservoir (30k AS)'!K13</f>
        <v>0</v>
      </c>
      <c r="L74" s="52">
        <f>'2c. Reservoir (30k AS)'!L13</f>
        <v>0</v>
      </c>
      <c r="M74" s="52">
        <f>'2c. Reservoir (30k AS)'!M13</f>
        <v>0</v>
      </c>
      <c r="N74" s="52">
        <f>'2c. Reservoir (30k AS)'!N13</f>
        <v>0</v>
      </c>
      <c r="O74" s="52">
        <f>'2c. Reservoir (30k AS)'!O13</f>
        <v>0</v>
      </c>
      <c r="P74" s="52">
        <f>'2c. Reservoir (30k AS)'!P13</f>
        <v>0</v>
      </c>
      <c r="Q74" s="52">
        <f>'2c. Reservoir (30k AS)'!Q13</f>
        <v>0</v>
      </c>
      <c r="R74" s="52">
        <f>'2c. Reservoir (30k AS)'!R13</f>
        <v>0</v>
      </c>
    </row>
    <row r="75" spans="2:18" ht="15.75" thickBot="1" x14ac:dyDescent="0.3">
      <c r="B75" s="55" t="s">
        <v>49</v>
      </c>
      <c r="C75" s="52">
        <f>'2c. Reservoir (30k AS)'!C14</f>
        <v>0</v>
      </c>
      <c r="D75" s="52">
        <f>'2c. Reservoir (30k AS)'!D14</f>
        <v>0</v>
      </c>
      <c r="E75" s="52">
        <f>'2c. Reservoir (30k AS)'!E14</f>
        <v>0</v>
      </c>
      <c r="F75" s="52">
        <f>'2c. Reservoir (30k AS)'!F14</f>
        <v>0</v>
      </c>
      <c r="G75" s="52">
        <f>'2c. Reservoir (30k AS)'!G14</f>
        <v>0</v>
      </c>
      <c r="H75" s="52">
        <f>'2c. Reservoir (30k AS)'!H14</f>
        <v>0</v>
      </c>
      <c r="I75" s="52">
        <f>'2c. Reservoir (30k AS)'!I14</f>
        <v>0</v>
      </c>
      <c r="J75" s="52">
        <f>'2c. Reservoir (30k AS)'!J14</f>
        <v>0</v>
      </c>
      <c r="K75" s="52">
        <f>'2c. Reservoir (30k AS)'!K14</f>
        <v>-14.253750192399536</v>
      </c>
      <c r="L75" s="52">
        <f>'2c. Reservoir (30k AS)'!L14</f>
        <v>-12.683011308134716</v>
      </c>
      <c r="M75" s="52">
        <f>'2c. Reservoir (30k AS)'!M14</f>
        <v>0</v>
      </c>
      <c r="N75" s="52">
        <f>'2c. Reservoir (30k AS)'!N14</f>
        <v>0</v>
      </c>
      <c r="O75" s="52">
        <f>'2c. Reservoir (30k AS)'!O14</f>
        <v>0</v>
      </c>
      <c r="P75" s="52">
        <f>'2c. Reservoir (30k AS)'!P14</f>
        <v>0</v>
      </c>
      <c r="Q75" s="52">
        <f>'2c. Reservoir (30k AS)'!Q14</f>
        <v>0</v>
      </c>
      <c r="R75" s="52">
        <f>'2c. Reservoir (30k AS)'!R14</f>
        <v>0</v>
      </c>
    </row>
    <row r="77" spans="2:18" ht="15.75" thickBot="1" x14ac:dyDescent="0.3"/>
    <row r="78" spans="2:18" ht="15.75" thickBot="1" x14ac:dyDescent="0.3">
      <c r="B78" s="144" t="s">
        <v>68</v>
      </c>
    </row>
    <row r="79" spans="2:18" x14ac:dyDescent="0.25">
      <c r="B79" s="130" t="s">
        <v>150</v>
      </c>
      <c r="D79" s="159" t="s">
        <v>144</v>
      </c>
      <c r="E79" s="160"/>
      <c r="F79" s="160"/>
      <c r="G79" s="161">
        <f>'2d. Reservoir (32k AS)'!X15</f>
        <v>31978.935000000005</v>
      </c>
    </row>
    <row r="80" spans="2:18" ht="15.75" thickBot="1" x14ac:dyDescent="0.3">
      <c r="B80" s="74" t="s">
        <v>117</v>
      </c>
      <c r="D80" s="162" t="s">
        <v>143</v>
      </c>
      <c r="E80" s="163"/>
      <c r="F80" s="163"/>
      <c r="G80" s="164">
        <f>'2d. Reservoir (32k AS)'!X16</f>
        <v>-151.2072625763322</v>
      </c>
    </row>
    <row r="81" spans="2:18" ht="15.75" thickBot="1" x14ac:dyDescent="0.3">
      <c r="B81" s="134" t="s">
        <v>114</v>
      </c>
    </row>
    <row r="82" spans="2:18" ht="15.75" thickBot="1" x14ac:dyDescent="0.3">
      <c r="B82" s="33"/>
      <c r="C82" s="165" t="s">
        <v>29</v>
      </c>
      <c r="D82" s="165"/>
      <c r="E82" s="165" t="s">
        <v>30</v>
      </c>
      <c r="F82" s="165"/>
      <c r="G82" s="165" t="s">
        <v>31</v>
      </c>
      <c r="H82" s="165"/>
      <c r="I82" s="165" t="s">
        <v>32</v>
      </c>
      <c r="J82" s="165"/>
      <c r="K82" s="165" t="s">
        <v>33</v>
      </c>
      <c r="L82" s="165"/>
      <c r="M82" s="165" t="s">
        <v>34</v>
      </c>
      <c r="N82" s="165"/>
      <c r="O82" s="165" t="s">
        <v>35</v>
      </c>
      <c r="P82" s="165"/>
      <c r="Q82" s="165" t="s">
        <v>105</v>
      </c>
      <c r="R82" s="165"/>
    </row>
    <row r="83" spans="2:18" ht="15.75" thickBot="1" x14ac:dyDescent="0.3">
      <c r="B83" s="51" t="s">
        <v>43</v>
      </c>
      <c r="C83" s="52">
        <f>'2d. Reservoir (32k AS)'!C7</f>
        <v>0</v>
      </c>
      <c r="D83" s="52">
        <f>'2d. Reservoir (32k AS)'!D7</f>
        <v>0</v>
      </c>
      <c r="E83" s="52">
        <f>'2d. Reservoir (32k AS)'!E7</f>
        <v>0</v>
      </c>
      <c r="F83" s="52">
        <f>'2d. Reservoir (32k AS)'!F7</f>
        <v>0</v>
      </c>
      <c r="G83" s="52">
        <f>'2d. Reservoir (32k AS)'!G7</f>
        <v>0</v>
      </c>
      <c r="H83" s="52">
        <f>'2d. Reservoir (32k AS)'!H7</f>
        <v>0</v>
      </c>
      <c r="I83" s="52">
        <f>'2d. Reservoir (32k AS)'!I7</f>
        <v>0</v>
      </c>
      <c r="J83" s="52">
        <f>'2d. Reservoir (32k AS)'!J7</f>
        <v>0</v>
      </c>
      <c r="K83" s="52">
        <f>'2d. Reservoir (32k AS)'!K7</f>
        <v>0</v>
      </c>
      <c r="L83" s="52">
        <f>'2d. Reservoir (32k AS)'!L7</f>
        <v>0</v>
      </c>
      <c r="M83" s="52">
        <f>'2d. Reservoir (32k AS)'!M7</f>
        <v>0</v>
      </c>
      <c r="N83" s="52">
        <f>'2d. Reservoir (32k AS)'!N7</f>
        <v>0</v>
      </c>
      <c r="O83" s="52">
        <f>'2d. Reservoir (32k AS)'!O7</f>
        <v>0</v>
      </c>
      <c r="P83" s="52">
        <f>'2d. Reservoir (32k AS)'!P7</f>
        <v>0</v>
      </c>
      <c r="Q83" s="52">
        <f>'2d. Reservoir (32k AS)'!Q7</f>
        <v>0</v>
      </c>
      <c r="R83" s="52">
        <f>'2d. Reservoir (32k AS)'!R7</f>
        <v>0</v>
      </c>
    </row>
    <row r="84" spans="2:18" ht="15.75" thickBot="1" x14ac:dyDescent="0.3">
      <c r="B84" s="53" t="s">
        <v>44</v>
      </c>
      <c r="C84" s="52">
        <f>'2d. Reservoir (32k AS)'!C8</f>
        <v>0</v>
      </c>
      <c r="D84" s="52">
        <f>'2d. Reservoir (32k AS)'!D8</f>
        <v>0</v>
      </c>
      <c r="E84" s="52">
        <f>'2d. Reservoir (32k AS)'!E8</f>
        <v>0</v>
      </c>
      <c r="F84" s="52">
        <f>'2d. Reservoir (32k AS)'!F8</f>
        <v>0</v>
      </c>
      <c r="G84" s="52">
        <f>'2d. Reservoir (32k AS)'!G8</f>
        <v>0</v>
      </c>
      <c r="H84" s="52">
        <f>'2d. Reservoir (32k AS)'!H8</f>
        <v>0</v>
      </c>
      <c r="I84" s="52">
        <f>'2d. Reservoir (32k AS)'!I8</f>
        <v>0</v>
      </c>
      <c r="J84" s="52">
        <f>'2d. Reservoir (32k AS)'!J8</f>
        <v>0</v>
      </c>
      <c r="K84" s="52">
        <f>'2d. Reservoir (32k AS)'!K8</f>
        <v>0</v>
      </c>
      <c r="L84" s="52">
        <f>'2d. Reservoir (32k AS)'!L8</f>
        <v>0</v>
      </c>
      <c r="M84" s="52">
        <f>'2d. Reservoir (32k AS)'!M8</f>
        <v>0</v>
      </c>
      <c r="N84" s="52">
        <f>'2d. Reservoir (32k AS)'!N8</f>
        <v>0</v>
      </c>
      <c r="O84" s="52">
        <f>'2d. Reservoir (32k AS)'!O8</f>
        <v>0</v>
      </c>
      <c r="P84" s="52">
        <f>'2d. Reservoir (32k AS)'!P8</f>
        <v>0</v>
      </c>
      <c r="Q84" s="52">
        <f>'2d. Reservoir (32k AS)'!Q8</f>
        <v>0</v>
      </c>
      <c r="R84" s="52">
        <f>'2d. Reservoir (32k AS)'!R8</f>
        <v>0</v>
      </c>
    </row>
    <row r="85" spans="2:18" ht="15.75" thickBot="1" x14ac:dyDescent="0.3">
      <c r="B85" s="53" t="s">
        <v>45</v>
      </c>
      <c r="C85" s="52">
        <f>'2d. Reservoir (32k AS)'!C9</f>
        <v>0</v>
      </c>
      <c r="D85" s="52">
        <f>'2d. Reservoir (32k AS)'!D9</f>
        <v>0</v>
      </c>
      <c r="E85" s="52">
        <f>'2d. Reservoir (32k AS)'!E9</f>
        <v>0</v>
      </c>
      <c r="F85" s="52">
        <f>'2d. Reservoir (32k AS)'!F9</f>
        <v>0</v>
      </c>
      <c r="G85" s="52">
        <f>'2d. Reservoir (32k AS)'!G9</f>
        <v>0</v>
      </c>
      <c r="H85" s="52">
        <f>'2d. Reservoir (32k AS)'!H9</f>
        <v>0</v>
      </c>
      <c r="I85" s="52">
        <f>'2d. Reservoir (32k AS)'!I9</f>
        <v>0</v>
      </c>
      <c r="J85" s="52">
        <f>'2d. Reservoir (32k AS)'!J9</f>
        <v>0</v>
      </c>
      <c r="K85" s="52">
        <f>'2d. Reservoir (32k AS)'!K9</f>
        <v>0</v>
      </c>
      <c r="L85" s="52">
        <f>'2d. Reservoir (32k AS)'!L9</f>
        <v>0</v>
      </c>
      <c r="M85" s="52">
        <f>'2d. Reservoir (32k AS)'!M9</f>
        <v>0</v>
      </c>
      <c r="N85" s="52">
        <f>'2d. Reservoir (32k AS)'!N9</f>
        <v>0</v>
      </c>
      <c r="O85" s="52">
        <f>'2d. Reservoir (32k AS)'!O9</f>
        <v>0</v>
      </c>
      <c r="P85" s="52">
        <f>'2d. Reservoir (32k AS)'!P9</f>
        <v>0</v>
      </c>
      <c r="Q85" s="52">
        <f>'2d. Reservoir (32k AS)'!Q9</f>
        <v>0</v>
      </c>
      <c r="R85" s="52">
        <f>'2d. Reservoir (32k AS)'!R9</f>
        <v>0</v>
      </c>
    </row>
    <row r="86" spans="2:18" ht="15.75" thickBot="1" x14ac:dyDescent="0.3">
      <c r="B86" s="53" t="s">
        <v>46</v>
      </c>
      <c r="C86" s="52">
        <f>'2d. Reservoir (32k AS)'!C10</f>
        <v>0</v>
      </c>
      <c r="D86" s="52">
        <f>'2d. Reservoir (32k AS)'!D10</f>
        <v>0</v>
      </c>
      <c r="E86" s="52">
        <f>'2d. Reservoir (32k AS)'!E10</f>
        <v>0</v>
      </c>
      <c r="F86" s="52">
        <f>'2d. Reservoir (32k AS)'!F10</f>
        <v>0</v>
      </c>
      <c r="G86" s="52">
        <f>'2d. Reservoir (32k AS)'!G10</f>
        <v>0</v>
      </c>
      <c r="H86" s="52">
        <f>'2d. Reservoir (32k AS)'!H10</f>
        <v>0</v>
      </c>
      <c r="I86" s="52">
        <f>'2d. Reservoir (32k AS)'!I10</f>
        <v>0</v>
      </c>
      <c r="J86" s="52">
        <f>'2d. Reservoir (32k AS)'!J10</f>
        <v>0</v>
      </c>
      <c r="K86" s="52">
        <f>'2d. Reservoir (32k AS)'!K10</f>
        <v>0</v>
      </c>
      <c r="L86" s="52">
        <f>'2d. Reservoir (32k AS)'!L10</f>
        <v>0</v>
      </c>
      <c r="M86" s="52">
        <f>'2d. Reservoir (32k AS)'!M10</f>
        <v>0</v>
      </c>
      <c r="N86" s="52">
        <f>'2d. Reservoir (32k AS)'!N10</f>
        <v>0</v>
      </c>
      <c r="O86" s="52">
        <f>'2d. Reservoir (32k AS)'!O10</f>
        <v>0</v>
      </c>
      <c r="P86" s="52">
        <f>'2d. Reservoir (32k AS)'!P10</f>
        <v>0</v>
      </c>
      <c r="Q86" s="52">
        <f>'2d. Reservoir (32k AS)'!Q10</f>
        <v>0</v>
      </c>
      <c r="R86" s="52">
        <f>'2d. Reservoir (32k AS)'!R10</f>
        <v>0</v>
      </c>
    </row>
    <row r="87" spans="2:18" ht="15.75" thickBot="1" x14ac:dyDescent="0.3">
      <c r="B87" s="53" t="s">
        <v>47</v>
      </c>
      <c r="C87" s="52">
        <f>'2d. Reservoir (32k AS)'!C11</f>
        <v>0</v>
      </c>
      <c r="D87" s="52">
        <f>'2d. Reservoir (32k AS)'!D11</f>
        <v>0</v>
      </c>
      <c r="E87" s="52">
        <f>'2d. Reservoir (32k AS)'!E11</f>
        <v>0</v>
      </c>
      <c r="F87" s="52">
        <f>'2d. Reservoir (32k AS)'!F11</f>
        <v>0</v>
      </c>
      <c r="G87" s="52">
        <f>'2d. Reservoir (32k AS)'!G11</f>
        <v>0</v>
      </c>
      <c r="H87" s="52">
        <f>'2d. Reservoir (32k AS)'!H11</f>
        <v>0</v>
      </c>
      <c r="I87" s="52">
        <f>'2d. Reservoir (32k AS)'!I11</f>
        <v>0</v>
      </c>
      <c r="J87" s="52">
        <f>'2d. Reservoir (32k AS)'!J11</f>
        <v>0</v>
      </c>
      <c r="K87" s="52">
        <f>'2d. Reservoir (32k AS)'!K11</f>
        <v>0</v>
      </c>
      <c r="L87" s="52">
        <f>'2d. Reservoir (32k AS)'!L11</f>
        <v>0</v>
      </c>
      <c r="M87" s="52">
        <f>'2d. Reservoir (32k AS)'!M11</f>
        <v>0</v>
      </c>
      <c r="N87" s="52">
        <f>'2d. Reservoir (32k AS)'!N11</f>
        <v>0</v>
      </c>
      <c r="O87" s="52">
        <f>'2d. Reservoir (32k AS)'!O11</f>
        <v>0</v>
      </c>
      <c r="P87" s="52">
        <f>'2d. Reservoir (32k AS)'!P11</f>
        <v>0</v>
      </c>
      <c r="Q87" s="52">
        <f>'2d. Reservoir (32k AS)'!Q11</f>
        <v>0</v>
      </c>
      <c r="R87" s="52">
        <f>'2d. Reservoir (32k AS)'!R11</f>
        <v>0</v>
      </c>
    </row>
    <row r="88" spans="2:18" ht="15.75" thickBot="1" x14ac:dyDescent="0.3">
      <c r="B88" s="53" t="s">
        <v>48</v>
      </c>
      <c r="C88" s="52">
        <f>'2d. Reservoir (32k AS)'!C12</f>
        <v>0</v>
      </c>
      <c r="D88" s="52">
        <f>'2d. Reservoir (32k AS)'!D12</f>
        <v>0</v>
      </c>
      <c r="E88" s="52">
        <f>'2d. Reservoir (32k AS)'!E12</f>
        <v>0</v>
      </c>
      <c r="F88" s="52">
        <f>'2d. Reservoir (32k AS)'!F12</f>
        <v>0</v>
      </c>
      <c r="G88" s="52">
        <f>'2d. Reservoir (32k AS)'!G12</f>
        <v>0</v>
      </c>
      <c r="H88" s="52">
        <f>'2d. Reservoir (32k AS)'!H12</f>
        <v>0</v>
      </c>
      <c r="I88" s="52">
        <f>'2d. Reservoir (32k AS)'!I12</f>
        <v>0</v>
      </c>
      <c r="J88" s="52">
        <f>'2d. Reservoir (32k AS)'!J12</f>
        <v>0</v>
      </c>
      <c r="K88" s="52">
        <f>'2d. Reservoir (32k AS)'!K12</f>
        <v>0</v>
      </c>
      <c r="L88" s="52">
        <f>'2d. Reservoir (32k AS)'!L12</f>
        <v>0</v>
      </c>
      <c r="M88" s="52">
        <f>'2d. Reservoir (32k AS)'!M12</f>
        <v>0</v>
      </c>
      <c r="N88" s="52">
        <f>'2d. Reservoir (32k AS)'!N12</f>
        <v>0</v>
      </c>
      <c r="O88" s="52">
        <f>'2d. Reservoir (32k AS)'!O12</f>
        <v>0</v>
      </c>
      <c r="P88" s="52">
        <f>'2d. Reservoir (32k AS)'!P12</f>
        <v>0</v>
      </c>
      <c r="Q88" s="52">
        <f>'2d. Reservoir (32k AS)'!Q12</f>
        <v>0</v>
      </c>
      <c r="R88" s="52">
        <f>'2d. Reservoir (32k AS)'!R12</f>
        <v>0</v>
      </c>
    </row>
    <row r="89" spans="2:18" ht="15.75" thickBot="1" x14ac:dyDescent="0.3">
      <c r="B89" s="53" t="s">
        <v>70</v>
      </c>
      <c r="C89" s="52">
        <f>'2d. Reservoir (32k AS)'!C13</f>
        <v>0</v>
      </c>
      <c r="D89" s="52">
        <f>'2d. Reservoir (32k AS)'!D13</f>
        <v>0</v>
      </c>
      <c r="E89" s="52">
        <f>'2d. Reservoir (32k AS)'!E13</f>
        <v>0</v>
      </c>
      <c r="F89" s="52">
        <f>'2d. Reservoir (32k AS)'!F13</f>
        <v>0</v>
      </c>
      <c r="G89" s="52">
        <f>'2d. Reservoir (32k AS)'!G13</f>
        <v>0</v>
      </c>
      <c r="H89" s="52">
        <f>'2d. Reservoir (32k AS)'!H13</f>
        <v>0</v>
      </c>
      <c r="I89" s="52">
        <f>'2d. Reservoir (32k AS)'!I13</f>
        <v>0</v>
      </c>
      <c r="J89" s="52">
        <f>'2d. Reservoir (32k AS)'!J13</f>
        <v>0</v>
      </c>
      <c r="K89" s="52">
        <f>'2d. Reservoir (32k AS)'!K13</f>
        <v>0</v>
      </c>
      <c r="L89" s="52">
        <f>'2d. Reservoir (32k AS)'!L13</f>
        <v>0</v>
      </c>
      <c r="M89" s="52">
        <f>'2d. Reservoir (32k AS)'!M13</f>
        <v>0</v>
      </c>
      <c r="N89" s="52">
        <f>'2d. Reservoir (32k AS)'!N13</f>
        <v>0</v>
      </c>
      <c r="O89" s="52">
        <f>'2d. Reservoir (32k AS)'!O13</f>
        <v>0</v>
      </c>
      <c r="P89" s="52">
        <f>'2d. Reservoir (32k AS)'!P13</f>
        <v>0</v>
      </c>
      <c r="Q89" s="52">
        <f>'2d. Reservoir (32k AS)'!Q13</f>
        <v>0</v>
      </c>
      <c r="R89" s="52">
        <f>'2d. Reservoir (32k AS)'!R13</f>
        <v>0</v>
      </c>
    </row>
    <row r="90" spans="2:18" ht="15.75" thickBot="1" x14ac:dyDescent="0.3">
      <c r="B90" s="55" t="s">
        <v>49</v>
      </c>
      <c r="C90" s="52">
        <f>'2d. Reservoir (32k AS)'!C14</f>
        <v>0</v>
      </c>
      <c r="D90" s="52">
        <f>'2d. Reservoir (32k AS)'!D14</f>
        <v>0</v>
      </c>
      <c r="E90" s="52">
        <f>'2d. Reservoir (32k AS)'!E14</f>
        <v>0</v>
      </c>
      <c r="F90" s="52">
        <f>'2d. Reservoir (32k AS)'!F14</f>
        <v>0</v>
      </c>
      <c r="G90" s="52">
        <f>'2d. Reservoir (32k AS)'!G14</f>
        <v>0</v>
      </c>
      <c r="H90" s="52">
        <f>'2d. Reservoir (32k AS)'!H14</f>
        <v>0</v>
      </c>
      <c r="I90" s="52">
        <f>'2d. Reservoir (32k AS)'!I14</f>
        <v>0</v>
      </c>
      <c r="J90" s="52">
        <f>'2d. Reservoir (32k AS)'!J14</f>
        <v>0</v>
      </c>
      <c r="K90" s="52">
        <f>'2d. Reservoir (32k AS)'!K14</f>
        <v>0</v>
      </c>
      <c r="L90" s="52">
        <f>'2d. Reservoir (32k AS)'!L14</f>
        <v>-5.0821699882810591</v>
      </c>
      <c r="M90" s="52">
        <f>'2d. Reservoir (32k AS)'!M14</f>
        <v>0</v>
      </c>
      <c r="N90" s="52">
        <f>'2d. Reservoir (32k AS)'!N14</f>
        <v>0</v>
      </c>
      <c r="O90" s="52">
        <f>'2d. Reservoir (32k AS)'!O14</f>
        <v>0</v>
      </c>
      <c r="P90" s="52">
        <f>'2d. Reservoir (32k AS)'!P14</f>
        <v>0</v>
      </c>
      <c r="Q90" s="52">
        <f>'2d. Reservoir (32k AS)'!Q14</f>
        <v>0</v>
      </c>
      <c r="R90" s="52">
        <f>'2d. Reservoir (32k AS)'!R14</f>
        <v>0</v>
      </c>
    </row>
    <row r="92" spans="2:18" ht="15.75" thickBot="1" x14ac:dyDescent="0.3"/>
    <row r="93" spans="2:18" ht="15.75" thickBot="1" x14ac:dyDescent="0.3">
      <c r="B93" s="144" t="s">
        <v>68</v>
      </c>
    </row>
    <row r="94" spans="2:18" x14ac:dyDescent="0.25">
      <c r="B94" s="130" t="s">
        <v>149</v>
      </c>
      <c r="D94" s="159" t="s">
        <v>144</v>
      </c>
      <c r="E94" s="160"/>
      <c r="F94" s="160"/>
      <c r="G94" s="161">
        <f>'2e. Reservoir (39.3k AS)'!X15</f>
        <v>32425.222500000003</v>
      </c>
    </row>
    <row r="95" spans="2:18" ht="15.75" thickBot="1" x14ac:dyDescent="0.3">
      <c r="B95" s="74" t="s">
        <v>117</v>
      </c>
      <c r="D95" s="162" t="s">
        <v>143</v>
      </c>
      <c r="E95" s="163"/>
      <c r="F95" s="163"/>
      <c r="G95" s="164">
        <f>'2e. Reservoir (39.3k AS)'!X16</f>
        <v>0</v>
      </c>
    </row>
    <row r="96" spans="2:18" ht="15.75" thickBot="1" x14ac:dyDescent="0.3">
      <c r="B96" s="134" t="s">
        <v>114</v>
      </c>
    </row>
    <row r="97" spans="2:18" ht="15.75" thickBot="1" x14ac:dyDescent="0.3">
      <c r="B97" s="33"/>
      <c r="C97" s="165" t="s">
        <v>29</v>
      </c>
      <c r="D97" s="165"/>
      <c r="E97" s="165" t="s">
        <v>30</v>
      </c>
      <c r="F97" s="165"/>
      <c r="G97" s="165" t="s">
        <v>31</v>
      </c>
      <c r="H97" s="165"/>
      <c r="I97" s="165" t="s">
        <v>32</v>
      </c>
      <c r="J97" s="165"/>
      <c r="K97" s="165" t="s">
        <v>33</v>
      </c>
      <c r="L97" s="165"/>
      <c r="M97" s="165" t="s">
        <v>34</v>
      </c>
      <c r="N97" s="165"/>
      <c r="O97" s="165" t="s">
        <v>35</v>
      </c>
      <c r="P97" s="165"/>
      <c r="Q97" s="165" t="s">
        <v>105</v>
      </c>
      <c r="R97" s="165"/>
    </row>
    <row r="98" spans="2:18" ht="15.75" thickBot="1" x14ac:dyDescent="0.3">
      <c r="B98" s="51" t="s">
        <v>43</v>
      </c>
      <c r="C98" s="52">
        <f>'2e. Reservoir (39.3k AS)'!C7</f>
        <v>0</v>
      </c>
      <c r="D98" s="52">
        <f>'2e. Reservoir (39.3k AS)'!D7</f>
        <v>0</v>
      </c>
      <c r="E98" s="52">
        <f>'2e. Reservoir (39.3k AS)'!E7</f>
        <v>0</v>
      </c>
      <c r="F98" s="52">
        <f>'2e. Reservoir (39.3k AS)'!F7</f>
        <v>0</v>
      </c>
      <c r="G98" s="52">
        <f>'2e. Reservoir (39.3k AS)'!G7</f>
        <v>0</v>
      </c>
      <c r="H98" s="52">
        <f>'2e. Reservoir (39.3k AS)'!H7</f>
        <v>0</v>
      </c>
      <c r="I98" s="52">
        <f>'2e. Reservoir (39.3k AS)'!I7</f>
        <v>0</v>
      </c>
      <c r="J98" s="52">
        <f>'2e. Reservoir (39.3k AS)'!J7</f>
        <v>0</v>
      </c>
      <c r="K98" s="52">
        <f>'2e. Reservoir (39.3k AS)'!K7</f>
        <v>0</v>
      </c>
      <c r="L98" s="52">
        <f>'2e. Reservoir (39.3k AS)'!L7</f>
        <v>0</v>
      </c>
      <c r="M98" s="52">
        <f>'2e. Reservoir (39.3k AS)'!M7</f>
        <v>0</v>
      </c>
      <c r="N98" s="52">
        <f>'2e. Reservoir (39.3k AS)'!N7</f>
        <v>0</v>
      </c>
      <c r="O98" s="52">
        <f>'2e. Reservoir (39.3k AS)'!O7</f>
        <v>0</v>
      </c>
      <c r="P98" s="52">
        <f>'2e. Reservoir (39.3k AS)'!P7</f>
        <v>0</v>
      </c>
      <c r="Q98" s="52">
        <f>'2e. Reservoir (39.3k AS)'!Q7</f>
        <v>0</v>
      </c>
      <c r="R98" s="52">
        <f>'2e. Reservoir (39.3k AS)'!R7</f>
        <v>0</v>
      </c>
    </row>
    <row r="99" spans="2:18" ht="15.75" thickBot="1" x14ac:dyDescent="0.3">
      <c r="B99" s="53" t="s">
        <v>44</v>
      </c>
      <c r="C99" s="52">
        <f>'2e. Reservoir (39.3k AS)'!C8</f>
        <v>0</v>
      </c>
      <c r="D99" s="52">
        <f>'2e. Reservoir (39.3k AS)'!D8</f>
        <v>0</v>
      </c>
      <c r="E99" s="52">
        <f>'2e. Reservoir (39.3k AS)'!E8</f>
        <v>0</v>
      </c>
      <c r="F99" s="52">
        <f>'2e. Reservoir (39.3k AS)'!F8</f>
        <v>0</v>
      </c>
      <c r="G99" s="52">
        <f>'2e. Reservoir (39.3k AS)'!G8</f>
        <v>0</v>
      </c>
      <c r="H99" s="52">
        <f>'2e. Reservoir (39.3k AS)'!H8</f>
        <v>0</v>
      </c>
      <c r="I99" s="52">
        <f>'2e. Reservoir (39.3k AS)'!I8</f>
        <v>0</v>
      </c>
      <c r="J99" s="52">
        <f>'2e. Reservoir (39.3k AS)'!J8</f>
        <v>0</v>
      </c>
      <c r="K99" s="52">
        <f>'2e. Reservoir (39.3k AS)'!K8</f>
        <v>0</v>
      </c>
      <c r="L99" s="52">
        <f>'2e. Reservoir (39.3k AS)'!L8</f>
        <v>0</v>
      </c>
      <c r="M99" s="52">
        <f>'2e. Reservoir (39.3k AS)'!M8</f>
        <v>0</v>
      </c>
      <c r="N99" s="52">
        <f>'2e. Reservoir (39.3k AS)'!N8</f>
        <v>0</v>
      </c>
      <c r="O99" s="52">
        <f>'2e. Reservoir (39.3k AS)'!O8</f>
        <v>0</v>
      </c>
      <c r="P99" s="52">
        <f>'2e. Reservoir (39.3k AS)'!P8</f>
        <v>0</v>
      </c>
      <c r="Q99" s="52">
        <f>'2e. Reservoir (39.3k AS)'!Q8</f>
        <v>0</v>
      </c>
      <c r="R99" s="52">
        <f>'2e. Reservoir (39.3k AS)'!R8</f>
        <v>0</v>
      </c>
    </row>
    <row r="100" spans="2:18" ht="15.75" thickBot="1" x14ac:dyDescent="0.3">
      <c r="B100" s="53" t="s">
        <v>45</v>
      </c>
      <c r="C100" s="52">
        <f>'2e. Reservoir (39.3k AS)'!C9</f>
        <v>0</v>
      </c>
      <c r="D100" s="52">
        <f>'2e. Reservoir (39.3k AS)'!D9</f>
        <v>0</v>
      </c>
      <c r="E100" s="52">
        <f>'2e. Reservoir (39.3k AS)'!E9</f>
        <v>0</v>
      </c>
      <c r="F100" s="52">
        <f>'2e. Reservoir (39.3k AS)'!F9</f>
        <v>0</v>
      </c>
      <c r="G100" s="52">
        <f>'2e. Reservoir (39.3k AS)'!G9</f>
        <v>0</v>
      </c>
      <c r="H100" s="52">
        <f>'2e. Reservoir (39.3k AS)'!H9</f>
        <v>0</v>
      </c>
      <c r="I100" s="52">
        <f>'2e. Reservoir (39.3k AS)'!I9</f>
        <v>0</v>
      </c>
      <c r="J100" s="52">
        <f>'2e. Reservoir (39.3k AS)'!J9</f>
        <v>0</v>
      </c>
      <c r="K100" s="52">
        <f>'2e. Reservoir (39.3k AS)'!K9</f>
        <v>0</v>
      </c>
      <c r="L100" s="52">
        <f>'2e. Reservoir (39.3k AS)'!L9</f>
        <v>0</v>
      </c>
      <c r="M100" s="52">
        <f>'2e. Reservoir (39.3k AS)'!M9</f>
        <v>0</v>
      </c>
      <c r="N100" s="52">
        <f>'2e. Reservoir (39.3k AS)'!N9</f>
        <v>0</v>
      </c>
      <c r="O100" s="52">
        <f>'2e. Reservoir (39.3k AS)'!O9</f>
        <v>0</v>
      </c>
      <c r="P100" s="52">
        <f>'2e. Reservoir (39.3k AS)'!P9</f>
        <v>0</v>
      </c>
      <c r="Q100" s="52">
        <f>'2e. Reservoir (39.3k AS)'!Q9</f>
        <v>0</v>
      </c>
      <c r="R100" s="52">
        <f>'2e. Reservoir (39.3k AS)'!R9</f>
        <v>0</v>
      </c>
    </row>
    <row r="101" spans="2:18" ht="15.75" thickBot="1" x14ac:dyDescent="0.3">
      <c r="B101" s="53" t="s">
        <v>46</v>
      </c>
      <c r="C101" s="52">
        <f>'2e. Reservoir (39.3k AS)'!C10</f>
        <v>0</v>
      </c>
      <c r="D101" s="52">
        <f>'2e. Reservoir (39.3k AS)'!D10</f>
        <v>0</v>
      </c>
      <c r="E101" s="52">
        <f>'2e. Reservoir (39.3k AS)'!E10</f>
        <v>0</v>
      </c>
      <c r="F101" s="52">
        <f>'2e. Reservoir (39.3k AS)'!F10</f>
        <v>0</v>
      </c>
      <c r="G101" s="52">
        <f>'2e. Reservoir (39.3k AS)'!G10</f>
        <v>0</v>
      </c>
      <c r="H101" s="52">
        <f>'2e. Reservoir (39.3k AS)'!H10</f>
        <v>0</v>
      </c>
      <c r="I101" s="52">
        <f>'2e. Reservoir (39.3k AS)'!I10</f>
        <v>0</v>
      </c>
      <c r="J101" s="52">
        <f>'2e. Reservoir (39.3k AS)'!J10</f>
        <v>0</v>
      </c>
      <c r="K101" s="52">
        <f>'2e. Reservoir (39.3k AS)'!K10</f>
        <v>0</v>
      </c>
      <c r="L101" s="52">
        <f>'2e. Reservoir (39.3k AS)'!L10</f>
        <v>0</v>
      </c>
      <c r="M101" s="52">
        <f>'2e. Reservoir (39.3k AS)'!M10</f>
        <v>0</v>
      </c>
      <c r="N101" s="52">
        <f>'2e. Reservoir (39.3k AS)'!N10</f>
        <v>0</v>
      </c>
      <c r="O101" s="52">
        <f>'2e. Reservoir (39.3k AS)'!O10</f>
        <v>0</v>
      </c>
      <c r="P101" s="52">
        <f>'2e. Reservoir (39.3k AS)'!P10</f>
        <v>0</v>
      </c>
      <c r="Q101" s="52">
        <f>'2e. Reservoir (39.3k AS)'!Q10</f>
        <v>0</v>
      </c>
      <c r="R101" s="52">
        <f>'2e. Reservoir (39.3k AS)'!R10</f>
        <v>0</v>
      </c>
    </row>
    <row r="102" spans="2:18" ht="15.75" thickBot="1" x14ac:dyDescent="0.3">
      <c r="B102" s="53" t="s">
        <v>47</v>
      </c>
      <c r="C102" s="52">
        <f>'2e. Reservoir (39.3k AS)'!C11</f>
        <v>0</v>
      </c>
      <c r="D102" s="52">
        <f>'2e. Reservoir (39.3k AS)'!D11</f>
        <v>0</v>
      </c>
      <c r="E102" s="52">
        <f>'2e. Reservoir (39.3k AS)'!E11</f>
        <v>0</v>
      </c>
      <c r="F102" s="52">
        <f>'2e. Reservoir (39.3k AS)'!F11</f>
        <v>0</v>
      </c>
      <c r="G102" s="52">
        <f>'2e. Reservoir (39.3k AS)'!G11</f>
        <v>0</v>
      </c>
      <c r="H102" s="52">
        <f>'2e. Reservoir (39.3k AS)'!H11</f>
        <v>0</v>
      </c>
      <c r="I102" s="52">
        <f>'2e. Reservoir (39.3k AS)'!I11</f>
        <v>0</v>
      </c>
      <c r="J102" s="52">
        <f>'2e. Reservoir (39.3k AS)'!J11</f>
        <v>0</v>
      </c>
      <c r="K102" s="52">
        <f>'2e. Reservoir (39.3k AS)'!K11</f>
        <v>0</v>
      </c>
      <c r="L102" s="52">
        <f>'2e. Reservoir (39.3k AS)'!L11</f>
        <v>0</v>
      </c>
      <c r="M102" s="52">
        <f>'2e. Reservoir (39.3k AS)'!M11</f>
        <v>0</v>
      </c>
      <c r="N102" s="52">
        <f>'2e. Reservoir (39.3k AS)'!N11</f>
        <v>0</v>
      </c>
      <c r="O102" s="52">
        <f>'2e. Reservoir (39.3k AS)'!O11</f>
        <v>0</v>
      </c>
      <c r="P102" s="52">
        <f>'2e. Reservoir (39.3k AS)'!P11</f>
        <v>0</v>
      </c>
      <c r="Q102" s="52">
        <f>'2e. Reservoir (39.3k AS)'!Q11</f>
        <v>0</v>
      </c>
      <c r="R102" s="52">
        <f>'2e. Reservoir (39.3k AS)'!R11</f>
        <v>0</v>
      </c>
    </row>
    <row r="103" spans="2:18" ht="15.75" thickBot="1" x14ac:dyDescent="0.3">
      <c r="B103" s="53" t="s">
        <v>48</v>
      </c>
      <c r="C103" s="52">
        <f>'2e. Reservoir (39.3k AS)'!C12</f>
        <v>0</v>
      </c>
      <c r="D103" s="52">
        <f>'2e. Reservoir (39.3k AS)'!D12</f>
        <v>0</v>
      </c>
      <c r="E103" s="52">
        <f>'2e. Reservoir (39.3k AS)'!E12</f>
        <v>0</v>
      </c>
      <c r="F103" s="52">
        <f>'2e. Reservoir (39.3k AS)'!F12</f>
        <v>0</v>
      </c>
      <c r="G103" s="52">
        <f>'2e. Reservoir (39.3k AS)'!G12</f>
        <v>0</v>
      </c>
      <c r="H103" s="52">
        <f>'2e. Reservoir (39.3k AS)'!H12</f>
        <v>0</v>
      </c>
      <c r="I103" s="52">
        <f>'2e. Reservoir (39.3k AS)'!I12</f>
        <v>0</v>
      </c>
      <c r="J103" s="52">
        <f>'2e. Reservoir (39.3k AS)'!J12</f>
        <v>0</v>
      </c>
      <c r="K103" s="52">
        <f>'2e. Reservoir (39.3k AS)'!K12</f>
        <v>0</v>
      </c>
      <c r="L103" s="52">
        <f>'2e. Reservoir (39.3k AS)'!L12</f>
        <v>0</v>
      </c>
      <c r="M103" s="52">
        <f>'2e. Reservoir (39.3k AS)'!M12</f>
        <v>0</v>
      </c>
      <c r="N103" s="52">
        <f>'2e. Reservoir (39.3k AS)'!N12</f>
        <v>0</v>
      </c>
      <c r="O103" s="52">
        <f>'2e. Reservoir (39.3k AS)'!O12</f>
        <v>0</v>
      </c>
      <c r="P103" s="52">
        <f>'2e. Reservoir (39.3k AS)'!P12</f>
        <v>0</v>
      </c>
      <c r="Q103" s="52">
        <f>'2e. Reservoir (39.3k AS)'!Q12</f>
        <v>0</v>
      </c>
      <c r="R103" s="52">
        <f>'2e. Reservoir (39.3k AS)'!R12</f>
        <v>0</v>
      </c>
    </row>
    <row r="104" spans="2:18" ht="15.75" thickBot="1" x14ac:dyDescent="0.3">
      <c r="B104" s="53" t="s">
        <v>70</v>
      </c>
      <c r="C104" s="52">
        <f>'2e. Reservoir (39.3k AS)'!C13</f>
        <v>0</v>
      </c>
      <c r="D104" s="52">
        <f>'2e. Reservoir (39.3k AS)'!D13</f>
        <v>0</v>
      </c>
      <c r="E104" s="52">
        <f>'2e. Reservoir (39.3k AS)'!E13</f>
        <v>0</v>
      </c>
      <c r="F104" s="52">
        <f>'2e. Reservoir (39.3k AS)'!F13</f>
        <v>0</v>
      </c>
      <c r="G104" s="52">
        <f>'2e. Reservoir (39.3k AS)'!G13</f>
        <v>0</v>
      </c>
      <c r="H104" s="52">
        <f>'2e. Reservoir (39.3k AS)'!H13</f>
        <v>0</v>
      </c>
      <c r="I104" s="52">
        <f>'2e. Reservoir (39.3k AS)'!I13</f>
        <v>0</v>
      </c>
      <c r="J104" s="52">
        <f>'2e. Reservoir (39.3k AS)'!J13</f>
        <v>0</v>
      </c>
      <c r="K104" s="52">
        <f>'2e. Reservoir (39.3k AS)'!K13</f>
        <v>0</v>
      </c>
      <c r="L104" s="52">
        <f>'2e. Reservoir (39.3k AS)'!L13</f>
        <v>0</v>
      </c>
      <c r="M104" s="52">
        <f>'2e. Reservoir (39.3k AS)'!M13</f>
        <v>0</v>
      </c>
      <c r="N104" s="52">
        <f>'2e. Reservoir (39.3k AS)'!N13</f>
        <v>0</v>
      </c>
      <c r="O104" s="52">
        <f>'2e. Reservoir (39.3k AS)'!O13</f>
        <v>0</v>
      </c>
      <c r="P104" s="52">
        <f>'2e. Reservoir (39.3k AS)'!P13</f>
        <v>0</v>
      </c>
      <c r="Q104" s="52">
        <f>'2e. Reservoir (39.3k AS)'!Q13</f>
        <v>0</v>
      </c>
      <c r="R104" s="52">
        <f>'2e. Reservoir (39.3k AS)'!R13</f>
        <v>0</v>
      </c>
    </row>
    <row r="105" spans="2:18" ht="15.75" thickBot="1" x14ac:dyDescent="0.3">
      <c r="B105" s="55" t="s">
        <v>49</v>
      </c>
      <c r="C105" s="52">
        <f>'2e. Reservoir (39.3k AS)'!C14</f>
        <v>0</v>
      </c>
      <c r="D105" s="52">
        <f>'2e. Reservoir (39.3k AS)'!D14</f>
        <v>0</v>
      </c>
      <c r="E105" s="52">
        <f>'2e. Reservoir (39.3k AS)'!E14</f>
        <v>0</v>
      </c>
      <c r="F105" s="52">
        <f>'2e. Reservoir (39.3k AS)'!F14</f>
        <v>0</v>
      </c>
      <c r="G105" s="52">
        <f>'2e. Reservoir (39.3k AS)'!G14</f>
        <v>0</v>
      </c>
      <c r="H105" s="52">
        <f>'2e. Reservoir (39.3k AS)'!H14</f>
        <v>0</v>
      </c>
      <c r="I105" s="52">
        <f>'2e. Reservoir (39.3k AS)'!I14</f>
        <v>0</v>
      </c>
      <c r="J105" s="52">
        <f>'2e. Reservoir (39.3k AS)'!J14</f>
        <v>0</v>
      </c>
      <c r="K105" s="52">
        <f>'2e. Reservoir (39.3k AS)'!K14</f>
        <v>0</v>
      </c>
      <c r="L105" s="52">
        <f>'2e. Reservoir (39.3k AS)'!L14</f>
        <v>0</v>
      </c>
      <c r="M105" s="52">
        <f>'2e. Reservoir (39.3k AS)'!M14</f>
        <v>0</v>
      </c>
      <c r="N105" s="52">
        <f>'2e. Reservoir (39.3k AS)'!N14</f>
        <v>0</v>
      </c>
      <c r="O105" s="52">
        <f>'2e. Reservoir (39.3k AS)'!O14</f>
        <v>0</v>
      </c>
      <c r="P105" s="52">
        <f>'2e. Reservoir (39.3k AS)'!P14</f>
        <v>0</v>
      </c>
      <c r="Q105" s="52">
        <f>'2e. Reservoir (39.3k AS)'!Q14</f>
        <v>0</v>
      </c>
      <c r="R105" s="52">
        <f>'2e. Reservoir (39.3k AS)'!R14</f>
        <v>0</v>
      </c>
    </row>
  </sheetData>
  <mergeCells count="56">
    <mergeCell ref="M67:N67"/>
    <mergeCell ref="O67:P67"/>
    <mergeCell ref="Q67:R67"/>
    <mergeCell ref="C97:D97"/>
    <mergeCell ref="E97:F97"/>
    <mergeCell ref="G97:H97"/>
    <mergeCell ref="I97:J97"/>
    <mergeCell ref="K97:L97"/>
    <mergeCell ref="M97:N97"/>
    <mergeCell ref="O97:P97"/>
    <mergeCell ref="Q97:R97"/>
    <mergeCell ref="C67:D67"/>
    <mergeCell ref="E67:F67"/>
    <mergeCell ref="G67:H67"/>
    <mergeCell ref="I67:J67"/>
    <mergeCell ref="K67:L67"/>
    <mergeCell ref="Q22:R22"/>
    <mergeCell ref="C22:D22"/>
    <mergeCell ref="E22:F22"/>
    <mergeCell ref="O7:P7"/>
    <mergeCell ref="Q7:R7"/>
    <mergeCell ref="C7:D7"/>
    <mergeCell ref="E7:F7"/>
    <mergeCell ref="G7:H7"/>
    <mergeCell ref="I7:J7"/>
    <mergeCell ref="K7:L7"/>
    <mergeCell ref="M7:N7"/>
    <mergeCell ref="G22:H22"/>
    <mergeCell ref="I22:J22"/>
    <mergeCell ref="K22:L22"/>
    <mergeCell ref="M22:N22"/>
    <mergeCell ref="O22:P22"/>
    <mergeCell ref="O37:P37"/>
    <mergeCell ref="Q37:R37"/>
    <mergeCell ref="C52:D52"/>
    <mergeCell ref="E52:F52"/>
    <mergeCell ref="G52:H52"/>
    <mergeCell ref="I52:J52"/>
    <mergeCell ref="K52:L52"/>
    <mergeCell ref="M52:N52"/>
    <mergeCell ref="O52:P52"/>
    <mergeCell ref="Q52:R52"/>
    <mergeCell ref="C37:D37"/>
    <mergeCell ref="E37:F37"/>
    <mergeCell ref="G37:H37"/>
    <mergeCell ref="I37:J37"/>
    <mergeCell ref="K37:L37"/>
    <mergeCell ref="M37:N37"/>
    <mergeCell ref="M82:N82"/>
    <mergeCell ref="O82:P82"/>
    <mergeCell ref="Q82:R82"/>
    <mergeCell ref="C82:D82"/>
    <mergeCell ref="E82:F82"/>
    <mergeCell ref="G82:H82"/>
    <mergeCell ref="I82:J82"/>
    <mergeCell ref="K82:L82"/>
  </mergeCells>
  <pageMargins left="0.7" right="0.7" top="0.75" bottom="0.75" header="0.3" footer="0.3"/>
  <pageSetup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02"/>
  <sheetViews>
    <sheetView zoomScale="70" zoomScaleNormal="70" zoomScalePageLayoutView="125" workbookViewId="0">
      <pane ySplit="17" topLeftCell="A81" activePane="bottomLeft" state="frozen"/>
      <selection pane="bottomLeft" activeCell="AC164" sqref="AC164"/>
    </sheetView>
  </sheetViews>
  <sheetFormatPr defaultColWidth="8.85546875" defaultRowHeight="15" x14ac:dyDescent="0.25"/>
  <cols>
    <col min="1" max="1" width="4.85546875" style="1" customWidth="1"/>
    <col min="2" max="2" width="51" style="1" customWidth="1"/>
    <col min="3" max="5" width="8.85546875" style="3" customWidth="1"/>
    <col min="6" max="18" width="8.85546875" style="3"/>
    <col min="19" max="19" width="8.85546875" style="13"/>
    <col min="20" max="20" width="8.85546875" style="100"/>
    <col min="21" max="21" width="8.85546875" style="3"/>
    <col min="22" max="16384" width="8.85546875" style="1"/>
  </cols>
  <sheetData>
    <row r="1" spans="2:21" ht="15.75" thickBot="1" x14ac:dyDescent="0.3"/>
    <row r="2" spans="2:21" x14ac:dyDescent="0.25">
      <c r="B2" s="144" t="s">
        <v>68</v>
      </c>
    </row>
    <row r="3" spans="2:21" x14ac:dyDescent="0.25">
      <c r="B3" s="130" t="s">
        <v>128</v>
      </c>
    </row>
    <row r="4" spans="2:21" ht="18.75" x14ac:dyDescent="0.3">
      <c r="B4" s="74" t="s">
        <v>117</v>
      </c>
      <c r="J4" s="125" t="s">
        <v>106</v>
      </c>
    </row>
    <row r="5" spans="2:21" ht="15.75" thickBot="1" x14ac:dyDescent="0.3">
      <c r="B5" s="134" t="s">
        <v>114</v>
      </c>
    </row>
    <row r="6" spans="2:21" ht="15.75" thickBot="1" x14ac:dyDescent="0.3">
      <c r="B6" s="33"/>
      <c r="C6" s="165" t="s">
        <v>29</v>
      </c>
      <c r="D6" s="165"/>
      <c r="E6" s="165" t="s">
        <v>30</v>
      </c>
      <c r="F6" s="165"/>
      <c r="G6" s="165" t="s">
        <v>31</v>
      </c>
      <c r="H6" s="165"/>
      <c r="I6" s="165" t="s">
        <v>32</v>
      </c>
      <c r="J6" s="165"/>
      <c r="K6" s="165" t="s">
        <v>33</v>
      </c>
      <c r="L6" s="165"/>
      <c r="M6" s="165" t="s">
        <v>34</v>
      </c>
      <c r="N6" s="165"/>
      <c r="O6" s="165" t="s">
        <v>35</v>
      </c>
      <c r="P6" s="165"/>
      <c r="Q6" s="165" t="s">
        <v>105</v>
      </c>
      <c r="R6" s="165"/>
      <c r="S6" s="27"/>
    </row>
    <row r="7" spans="2:21" s="4" customFormat="1" x14ac:dyDescent="0.25">
      <c r="B7" s="51" t="s">
        <v>43</v>
      </c>
      <c r="C7" s="52">
        <f>C35</f>
        <v>0</v>
      </c>
      <c r="D7" s="52">
        <f t="shared" ref="D7:N7" si="0">D35</f>
        <v>0</v>
      </c>
      <c r="E7" s="52">
        <f t="shared" si="0"/>
        <v>0</v>
      </c>
      <c r="F7" s="52">
        <f t="shared" si="0"/>
        <v>0</v>
      </c>
      <c r="G7" s="52">
        <f t="shared" si="0"/>
        <v>0</v>
      </c>
      <c r="H7" s="52">
        <f t="shared" si="0"/>
        <v>0</v>
      </c>
      <c r="I7" s="52">
        <f t="shared" si="0"/>
        <v>0</v>
      </c>
      <c r="J7" s="52">
        <f t="shared" si="0"/>
        <v>0</v>
      </c>
      <c r="K7" s="52">
        <f t="shared" si="0"/>
        <v>0</v>
      </c>
      <c r="L7" s="52">
        <f t="shared" si="0"/>
        <v>0</v>
      </c>
      <c r="M7" s="52">
        <f t="shared" si="0"/>
        <v>0</v>
      </c>
      <c r="N7" s="52">
        <f t="shared" si="0"/>
        <v>0</v>
      </c>
      <c r="O7" s="52">
        <f>O35</f>
        <v>0</v>
      </c>
      <c r="P7" s="52">
        <f>P35</f>
        <v>0</v>
      </c>
      <c r="Q7" s="52">
        <f>Q35</f>
        <v>0</v>
      </c>
      <c r="R7" s="52">
        <f>R35</f>
        <v>0</v>
      </c>
      <c r="S7" s="105"/>
      <c r="T7" s="100"/>
      <c r="U7" s="126"/>
    </row>
    <row r="8" spans="2:21" s="4" customFormat="1" x14ac:dyDescent="0.25">
      <c r="B8" s="53" t="s">
        <v>44</v>
      </c>
      <c r="C8" s="54">
        <f>C58</f>
        <v>0</v>
      </c>
      <c r="D8" s="54">
        <f t="shared" ref="D8:N8" si="1">D58</f>
        <v>0</v>
      </c>
      <c r="E8" s="54">
        <f t="shared" si="1"/>
        <v>0</v>
      </c>
      <c r="F8" s="54">
        <f t="shared" si="1"/>
        <v>-38.25</v>
      </c>
      <c r="G8" s="54">
        <f t="shared" si="1"/>
        <v>-113.80657453000001</v>
      </c>
      <c r="H8" s="54">
        <f t="shared" si="1"/>
        <v>-63.485045370000002</v>
      </c>
      <c r="I8" s="54">
        <f t="shared" si="1"/>
        <v>-36.283164479999996</v>
      </c>
      <c r="J8" s="54">
        <f t="shared" si="1"/>
        <v>-36.007713539999997</v>
      </c>
      <c r="K8" s="54">
        <f t="shared" si="1"/>
        <v>-33.388502889999998</v>
      </c>
      <c r="L8" s="54">
        <f t="shared" si="1"/>
        <v>-34.728886889999998</v>
      </c>
      <c r="M8" s="54">
        <f t="shared" si="1"/>
        <v>-31.858604159999999</v>
      </c>
      <c r="N8" s="54">
        <f t="shared" si="1"/>
        <v>-34.099166660000002</v>
      </c>
      <c r="O8" s="54">
        <f>O58</f>
        <v>-31.326614579999998</v>
      </c>
      <c r="P8" s="54">
        <f>P58</f>
        <v>-26.931128510000001</v>
      </c>
      <c r="Q8" s="54">
        <f>Q58</f>
        <v>-15.527628440000001</v>
      </c>
      <c r="R8" s="54">
        <f>R58</f>
        <v>0</v>
      </c>
      <c r="S8" s="105"/>
      <c r="T8" s="100"/>
      <c r="U8" s="126"/>
    </row>
    <row r="9" spans="2:21" s="4" customFormat="1" x14ac:dyDescent="0.25">
      <c r="B9" s="53" t="s">
        <v>45</v>
      </c>
      <c r="C9" s="54">
        <f>C77</f>
        <v>0</v>
      </c>
      <c r="D9" s="54">
        <f t="shared" ref="D9:N9" si="2">D77</f>
        <v>0</v>
      </c>
      <c r="E9" s="54">
        <f t="shared" si="2"/>
        <v>0</v>
      </c>
      <c r="F9" s="54">
        <f t="shared" si="2"/>
        <v>0</v>
      </c>
      <c r="G9" s="54">
        <f t="shared" si="2"/>
        <v>-81.024819129999997</v>
      </c>
      <c r="H9" s="54">
        <f t="shared" si="2"/>
        <v>-62.567904409999997</v>
      </c>
      <c r="I9" s="54">
        <f t="shared" si="2"/>
        <v>-48.220071860000004</v>
      </c>
      <c r="J9" s="54">
        <f t="shared" si="2"/>
        <v>-47.377864580000001</v>
      </c>
      <c r="K9" s="54">
        <f t="shared" si="2"/>
        <v>-47.008854159999999</v>
      </c>
      <c r="L9" s="54">
        <f t="shared" si="2"/>
        <v>-49.405405090000002</v>
      </c>
      <c r="M9" s="54">
        <f t="shared" si="2"/>
        <v>-44.983854269999995</v>
      </c>
      <c r="N9" s="54">
        <f t="shared" si="2"/>
        <v>-45.766223769999996</v>
      </c>
      <c r="O9" s="54">
        <f>O77</f>
        <v>-41.542524389999997</v>
      </c>
      <c r="P9" s="54">
        <f>P77</f>
        <v>-35.612579289999999</v>
      </c>
      <c r="Q9" s="54">
        <f>Q77</f>
        <v>-15.677163579999998</v>
      </c>
      <c r="R9" s="54">
        <f>R77</f>
        <v>0</v>
      </c>
      <c r="S9" s="105"/>
      <c r="T9" s="100"/>
      <c r="U9" s="126"/>
    </row>
    <row r="10" spans="2:21" s="4" customFormat="1" x14ac:dyDescent="0.25">
      <c r="B10" s="53" t="s">
        <v>46</v>
      </c>
      <c r="C10" s="54">
        <f>C101</f>
        <v>0</v>
      </c>
      <c r="D10" s="54">
        <f t="shared" ref="D10:N10" si="3">D101</f>
        <v>0</v>
      </c>
      <c r="E10" s="54">
        <f t="shared" si="3"/>
        <v>0</v>
      </c>
      <c r="F10" s="54">
        <f t="shared" si="3"/>
        <v>0</v>
      </c>
      <c r="G10" s="54">
        <f t="shared" si="3"/>
        <v>-74.618750000000006</v>
      </c>
      <c r="H10" s="54">
        <f t="shared" si="3"/>
        <v>-59.813802080000002</v>
      </c>
      <c r="I10" s="54">
        <f t="shared" si="3"/>
        <v>-34.698437499999997</v>
      </c>
      <c r="J10" s="54">
        <f t="shared" si="3"/>
        <v>-30.499739580000004</v>
      </c>
      <c r="K10" s="54">
        <f t="shared" si="3"/>
        <v>-30.696354169999999</v>
      </c>
      <c r="L10" s="54">
        <f t="shared" si="3"/>
        <v>-29.962499999999999</v>
      </c>
      <c r="M10" s="54">
        <f t="shared" si="3"/>
        <v>-22.131250000000001</v>
      </c>
      <c r="N10" s="54">
        <f t="shared" si="3"/>
        <v>-16.096093750000001</v>
      </c>
      <c r="O10" s="54">
        <f>O101</f>
        <v>-36.322395830000005</v>
      </c>
      <c r="P10" s="54">
        <f>P101</f>
        <v>-41.881250000000001</v>
      </c>
      <c r="Q10" s="54">
        <f>Q101</f>
        <v>-41.456770829999996</v>
      </c>
      <c r="R10" s="54">
        <f>R101</f>
        <v>-28.934375000000003</v>
      </c>
      <c r="S10" s="105"/>
      <c r="T10" s="100"/>
      <c r="U10" s="126"/>
    </row>
    <row r="11" spans="2:21" s="4" customFormat="1" x14ac:dyDescent="0.25">
      <c r="B11" s="53" t="s">
        <v>47</v>
      </c>
      <c r="C11" s="54">
        <f>C122</f>
        <v>0</v>
      </c>
      <c r="D11" s="54">
        <f t="shared" ref="D11:N11" si="4">D122</f>
        <v>0</v>
      </c>
      <c r="E11" s="54">
        <f t="shared" si="4"/>
        <v>0</v>
      </c>
      <c r="F11" s="54">
        <f t="shared" si="4"/>
        <v>0</v>
      </c>
      <c r="G11" s="54">
        <f t="shared" si="4"/>
        <v>-34</v>
      </c>
      <c r="H11" s="54">
        <f t="shared" si="4"/>
        <v>-30.200000000000003</v>
      </c>
      <c r="I11" s="54">
        <f t="shared" si="4"/>
        <v>-25.700000000000003</v>
      </c>
      <c r="J11" s="54">
        <f t="shared" si="4"/>
        <v>-26.799999999999997</v>
      </c>
      <c r="K11" s="54">
        <f t="shared" si="4"/>
        <v>-26.15</v>
      </c>
      <c r="L11" s="54">
        <f t="shared" si="4"/>
        <v>-22.6</v>
      </c>
      <c r="M11" s="54">
        <f t="shared" si="4"/>
        <v>-14.100000000000001</v>
      </c>
      <c r="N11" s="54">
        <f t="shared" si="4"/>
        <v>-7.0499999999999972</v>
      </c>
      <c r="O11" s="54">
        <f>O122</f>
        <v>-20</v>
      </c>
      <c r="P11" s="54">
        <f>P122</f>
        <v>-16.299999999999997</v>
      </c>
      <c r="Q11" s="54">
        <f>Q122</f>
        <v>-4</v>
      </c>
      <c r="R11" s="54">
        <f>R122</f>
        <v>0</v>
      </c>
      <c r="S11" s="105"/>
      <c r="T11" s="100"/>
      <c r="U11" s="126"/>
    </row>
    <row r="12" spans="2:21" s="4" customFormat="1" x14ac:dyDescent="0.25">
      <c r="B12" s="53" t="s">
        <v>48</v>
      </c>
      <c r="C12" s="54">
        <f>C143</f>
        <v>0</v>
      </c>
      <c r="D12" s="54">
        <f t="shared" ref="D12:N12" si="5">D143</f>
        <v>0</v>
      </c>
      <c r="E12" s="54">
        <f t="shared" si="5"/>
        <v>0</v>
      </c>
      <c r="F12" s="54">
        <f t="shared" si="5"/>
        <v>-90.121478870000004</v>
      </c>
      <c r="G12" s="54">
        <f t="shared" si="5"/>
        <v>-142.03035807000001</v>
      </c>
      <c r="H12" s="54">
        <f t="shared" si="5"/>
        <v>-92.605251788000004</v>
      </c>
      <c r="I12" s="54">
        <f t="shared" si="5"/>
        <v>-53.554331959999999</v>
      </c>
      <c r="J12" s="54">
        <f t="shared" si="5"/>
        <v>-54.186736769999996</v>
      </c>
      <c r="K12" s="54">
        <f t="shared" si="5"/>
        <v>-54.110752910000002</v>
      </c>
      <c r="L12" s="54">
        <f t="shared" si="5"/>
        <v>-54.402934420000001</v>
      </c>
      <c r="M12" s="54">
        <f t="shared" si="5"/>
        <v>-41.756615029999999</v>
      </c>
      <c r="N12" s="54">
        <f t="shared" si="5"/>
        <v>-41.534143729999997</v>
      </c>
      <c r="O12" s="54">
        <f>O143</f>
        <v>-46.377626890000002</v>
      </c>
      <c r="P12" s="54">
        <f>P143</f>
        <v>-47.402459530000002</v>
      </c>
      <c r="Q12" s="54">
        <f>Q143</f>
        <v>-34.728666740000001</v>
      </c>
      <c r="R12" s="54">
        <f>R143</f>
        <v>-4.7467429399999972</v>
      </c>
      <c r="S12" s="105"/>
      <c r="T12" s="100"/>
      <c r="U12" s="126"/>
    </row>
    <row r="13" spans="2:21" s="4" customFormat="1" x14ac:dyDescent="0.25">
      <c r="B13" s="53" t="s">
        <v>70</v>
      </c>
      <c r="C13" s="54">
        <f>C164</f>
        <v>0</v>
      </c>
      <c r="D13" s="54">
        <f t="shared" ref="D13:N13" si="6">D164</f>
        <v>0</v>
      </c>
      <c r="E13" s="54">
        <f t="shared" si="6"/>
        <v>0</v>
      </c>
      <c r="F13" s="54">
        <f t="shared" si="6"/>
        <v>0</v>
      </c>
      <c r="G13" s="54">
        <f t="shared" si="6"/>
        <v>0</v>
      </c>
      <c r="H13" s="54">
        <f t="shared" si="6"/>
        <v>0</v>
      </c>
      <c r="I13" s="54">
        <f t="shared" si="6"/>
        <v>-16</v>
      </c>
      <c r="J13" s="54">
        <f t="shared" si="6"/>
        <v>-43</v>
      </c>
      <c r="K13" s="54">
        <f t="shared" si="6"/>
        <v>-50</v>
      </c>
      <c r="L13" s="54">
        <f t="shared" si="6"/>
        <v>-51</v>
      </c>
      <c r="M13" s="54">
        <f t="shared" si="6"/>
        <v>-42</v>
      </c>
      <c r="N13" s="54">
        <f t="shared" si="6"/>
        <v>-25</v>
      </c>
      <c r="O13" s="54">
        <f>O164</f>
        <v>-17</v>
      </c>
      <c r="P13" s="54">
        <f>P164</f>
        <v>-4</v>
      </c>
      <c r="Q13" s="54">
        <f>Q164</f>
        <v>0</v>
      </c>
      <c r="R13" s="54">
        <f>R164</f>
        <v>0</v>
      </c>
      <c r="S13" s="105"/>
      <c r="T13" s="100"/>
      <c r="U13" s="126"/>
    </row>
    <row r="14" spans="2:21" s="4" customFormat="1" ht="15.75" thickBot="1" x14ac:dyDescent="0.3">
      <c r="B14" s="55" t="s">
        <v>49</v>
      </c>
      <c r="C14" s="56">
        <f>C183</f>
        <v>0</v>
      </c>
      <c r="D14" s="56">
        <f t="shared" ref="D14:N14" si="7">D183</f>
        <v>0</v>
      </c>
      <c r="E14" s="56">
        <f t="shared" si="7"/>
        <v>0</v>
      </c>
      <c r="F14" s="56">
        <f t="shared" si="7"/>
        <v>0</v>
      </c>
      <c r="G14" s="56">
        <f t="shared" si="7"/>
        <v>-83.362245610000002</v>
      </c>
      <c r="H14" s="56">
        <f t="shared" si="7"/>
        <v>-25.365024930000004</v>
      </c>
      <c r="I14" s="56">
        <f t="shared" si="7"/>
        <v>-11.697123779999998</v>
      </c>
      <c r="J14" s="56">
        <f t="shared" si="7"/>
        <v>-43.272686739999997</v>
      </c>
      <c r="K14" s="56">
        <f t="shared" si="7"/>
        <v>-52.875974749999997</v>
      </c>
      <c r="L14" s="56">
        <f t="shared" si="7"/>
        <v>-52.391070339999999</v>
      </c>
      <c r="M14" s="56">
        <f t="shared" si="7"/>
        <v>-32.895803960000002</v>
      </c>
      <c r="N14" s="56">
        <f t="shared" si="7"/>
        <v>-32.82694549</v>
      </c>
      <c r="O14" s="56">
        <f>O183</f>
        <v>-35.772550429999995</v>
      </c>
      <c r="P14" s="56">
        <f>P183</f>
        <v>-13.67339046</v>
      </c>
      <c r="Q14" s="56">
        <f>Q183</f>
        <v>0</v>
      </c>
      <c r="R14" s="56">
        <f>R183</f>
        <v>0</v>
      </c>
      <c r="S14" s="105"/>
      <c r="T14" s="100"/>
      <c r="U14" s="126"/>
    </row>
    <row r="15" spans="2:21" ht="15.75" thickBot="1" x14ac:dyDescent="0.3"/>
    <row r="16" spans="2:21" s="4" customFormat="1" ht="15.75" thickBot="1" x14ac:dyDescent="0.3">
      <c r="B16" s="75" t="s">
        <v>107</v>
      </c>
      <c r="C16" s="45">
        <v>150</v>
      </c>
      <c r="D16" s="45">
        <v>150</v>
      </c>
      <c r="E16" s="45">
        <v>150</v>
      </c>
      <c r="F16" s="45">
        <v>150</v>
      </c>
      <c r="G16" s="45">
        <v>150</v>
      </c>
      <c r="H16" s="45">
        <v>100</v>
      </c>
      <c r="I16" s="45">
        <v>65</v>
      </c>
      <c r="J16" s="45">
        <v>65</v>
      </c>
      <c r="K16" s="45">
        <v>65</v>
      </c>
      <c r="L16" s="45">
        <v>65</v>
      </c>
      <c r="M16" s="45">
        <v>65</v>
      </c>
      <c r="N16" s="45">
        <v>65</v>
      </c>
      <c r="O16" s="45">
        <v>65</v>
      </c>
      <c r="P16" s="45">
        <v>65</v>
      </c>
      <c r="Q16" s="45">
        <v>65</v>
      </c>
      <c r="R16" s="45">
        <v>65</v>
      </c>
      <c r="S16" s="27"/>
      <c r="T16" s="100"/>
      <c r="U16" s="126"/>
    </row>
    <row r="17" spans="2:21" s="28" customFormat="1" x14ac:dyDescent="0.25">
      <c r="B17" s="7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02"/>
      <c r="U17" s="27"/>
    </row>
    <row r="18" spans="2:21" s="4" customFormat="1" ht="15.75" thickBot="1" x14ac:dyDescent="0.3">
      <c r="B18" s="77" t="s">
        <v>50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101" t="s">
        <v>104</v>
      </c>
      <c r="U18" s="126"/>
    </row>
    <row r="19" spans="2:21" s="11" customFormat="1" ht="15.75" thickBot="1" x14ac:dyDescent="0.3">
      <c r="B19" s="78" t="s">
        <v>5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121">
        <v>0</v>
      </c>
      <c r="R19" s="46">
        <v>0</v>
      </c>
      <c r="S19" s="105"/>
      <c r="T19" s="100" t="s">
        <v>71</v>
      </c>
      <c r="U19" s="8"/>
    </row>
    <row r="20" spans="2:21" s="11" customFormat="1" x14ac:dyDescent="0.25">
      <c r="B20" s="79" t="s">
        <v>7</v>
      </c>
      <c r="C20" s="16">
        <f>IF(C34&gt;C33,((C34-C33)*-1),((C33-C34)))</f>
        <v>315.58645360000003</v>
      </c>
      <c r="D20" s="16">
        <f t="shared" ref="D20:E20" si="8">IF(D34&gt;D33,((D34-D33)*-1),((D33-D34)))</f>
        <v>250.7977975</v>
      </c>
      <c r="E20" s="16">
        <f t="shared" si="8"/>
        <v>234.0911236</v>
      </c>
      <c r="F20" s="16">
        <f>IF(F34&gt;F33,((F34-F33)*-1),((F33-F34)))</f>
        <v>105.40185410000001</v>
      </c>
      <c r="G20" s="16">
        <f>IF(G34&gt;G33,((G34-G33)*-1),((G33-G34)))</f>
        <v>72.051147100000009</v>
      </c>
      <c r="H20" s="16">
        <f t="shared" ref="H20:R20" si="9">IF(H34&gt;H33,((H34-H33)*-1),((H33-H34)))</f>
        <v>74.015495399999992</v>
      </c>
      <c r="I20" s="16">
        <f t="shared" si="9"/>
        <v>64.093295299999994</v>
      </c>
      <c r="J20" s="16">
        <f t="shared" si="9"/>
        <v>43.301793500000002</v>
      </c>
      <c r="K20" s="16">
        <f t="shared" si="9"/>
        <v>36.390017099999994</v>
      </c>
      <c r="L20" s="16">
        <f t="shared" si="9"/>
        <v>34.097356379999994</v>
      </c>
      <c r="M20" s="16">
        <f t="shared" si="9"/>
        <v>35.555049600000004</v>
      </c>
      <c r="N20" s="16">
        <f t="shared" si="9"/>
        <v>40.275458499999999</v>
      </c>
      <c r="O20" s="16">
        <f t="shared" si="9"/>
        <v>44.218186099999997</v>
      </c>
      <c r="P20" s="16">
        <f t="shared" si="9"/>
        <v>44.636585600000004</v>
      </c>
      <c r="Q20" s="16">
        <f t="shared" si="9"/>
        <v>49.726156500000002</v>
      </c>
      <c r="R20" s="14">
        <f t="shared" si="9"/>
        <v>64.693781599999994</v>
      </c>
      <c r="S20" s="18"/>
      <c r="T20" s="100" t="s">
        <v>72</v>
      </c>
      <c r="U20" s="8"/>
    </row>
    <row r="21" spans="2:21" s="11" customFormat="1" ht="15.75" thickBot="1" x14ac:dyDescent="0.3">
      <c r="B21" s="8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7"/>
      <c r="S21" s="18"/>
      <c r="T21" s="100"/>
      <c r="U21" s="8"/>
    </row>
    <row r="22" spans="2:21" ht="15.75" thickBot="1" x14ac:dyDescent="0.3">
      <c r="B22" s="73" t="s">
        <v>6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121">
        <v>0</v>
      </c>
      <c r="R22" s="46">
        <v>0</v>
      </c>
      <c r="S22" s="105"/>
      <c r="T22" s="100" t="s">
        <v>71</v>
      </c>
    </row>
    <row r="23" spans="2:21" s="4" customFormat="1" x14ac:dyDescent="0.25">
      <c r="B23" s="79" t="s">
        <v>7</v>
      </c>
      <c r="C23" s="16">
        <f>IF(C34&gt;C33,((C34-C33)*-1),((C33-C34)))</f>
        <v>315.58645360000003</v>
      </c>
      <c r="D23" s="16">
        <f t="shared" ref="D23:R23" si="10">IF(D34&gt;D33,((D34-D33)*-1),((D33-D34)))</f>
        <v>250.7977975</v>
      </c>
      <c r="E23" s="16">
        <f t="shared" si="10"/>
        <v>234.0911236</v>
      </c>
      <c r="F23" s="16">
        <f t="shared" si="10"/>
        <v>105.40185410000001</v>
      </c>
      <c r="G23" s="16">
        <f t="shared" si="10"/>
        <v>72.051147100000009</v>
      </c>
      <c r="H23" s="16">
        <f t="shared" si="10"/>
        <v>74.015495399999992</v>
      </c>
      <c r="I23" s="16">
        <f t="shared" si="10"/>
        <v>64.093295299999994</v>
      </c>
      <c r="J23" s="16">
        <f t="shared" si="10"/>
        <v>43.301793500000002</v>
      </c>
      <c r="K23" s="16">
        <f t="shared" si="10"/>
        <v>36.390017099999994</v>
      </c>
      <c r="L23" s="16">
        <f t="shared" si="10"/>
        <v>34.097356379999994</v>
      </c>
      <c r="M23" s="16">
        <f t="shared" si="10"/>
        <v>35.555049600000004</v>
      </c>
      <c r="N23" s="16">
        <f t="shared" si="10"/>
        <v>40.275458499999999</v>
      </c>
      <c r="O23" s="16">
        <f t="shared" si="10"/>
        <v>44.218186099999997</v>
      </c>
      <c r="P23" s="16">
        <f t="shared" si="10"/>
        <v>44.636585600000004</v>
      </c>
      <c r="Q23" s="16">
        <f t="shared" si="10"/>
        <v>49.726156500000002</v>
      </c>
      <c r="R23" s="14">
        <f t="shared" si="10"/>
        <v>64.693781599999994</v>
      </c>
      <c r="S23" s="18"/>
      <c r="T23" s="100" t="s">
        <v>72</v>
      </c>
      <c r="U23" s="126"/>
    </row>
    <row r="24" spans="2:21" s="26" customFormat="1" ht="15.75" thickBot="1" x14ac:dyDescent="0.3">
      <c r="B24" s="8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7"/>
      <c r="S24" s="18"/>
      <c r="T24" s="100"/>
      <c r="U24" s="25"/>
    </row>
    <row r="25" spans="2:21" s="4" customFormat="1" ht="15.75" thickBot="1" x14ac:dyDescent="0.3">
      <c r="B25" s="73" t="s">
        <v>60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121">
        <v>0</v>
      </c>
      <c r="R25" s="46">
        <v>0</v>
      </c>
      <c r="S25" s="105"/>
      <c r="T25" s="100" t="s">
        <v>71</v>
      </c>
      <c r="U25" s="126"/>
    </row>
    <row r="26" spans="2:21" s="4" customFormat="1" x14ac:dyDescent="0.25">
      <c r="B26" s="79" t="s">
        <v>7</v>
      </c>
      <c r="C26" s="16">
        <f>IF(C34&gt;C33,((C34-C33)*-1),((C33-C34)))</f>
        <v>315.58645360000003</v>
      </c>
      <c r="D26" s="16">
        <f t="shared" ref="D26:R26" si="11">IF(D34&gt;D33,((D34-D33)*-1),((D33-D34)))</f>
        <v>250.7977975</v>
      </c>
      <c r="E26" s="16">
        <f t="shared" si="11"/>
        <v>234.0911236</v>
      </c>
      <c r="F26" s="16">
        <f t="shared" si="11"/>
        <v>105.40185410000001</v>
      </c>
      <c r="G26" s="16">
        <f t="shared" si="11"/>
        <v>72.051147100000009</v>
      </c>
      <c r="H26" s="16">
        <f t="shared" si="11"/>
        <v>74.015495399999992</v>
      </c>
      <c r="I26" s="16">
        <f t="shared" si="11"/>
        <v>64.093295299999994</v>
      </c>
      <c r="J26" s="16">
        <f t="shared" si="11"/>
        <v>43.301793500000002</v>
      </c>
      <c r="K26" s="16">
        <f t="shared" si="11"/>
        <v>36.390017099999994</v>
      </c>
      <c r="L26" s="16">
        <f t="shared" si="11"/>
        <v>34.097356379999994</v>
      </c>
      <c r="M26" s="16">
        <f t="shared" si="11"/>
        <v>35.555049600000004</v>
      </c>
      <c r="N26" s="16">
        <f t="shared" si="11"/>
        <v>40.275458499999999</v>
      </c>
      <c r="O26" s="16">
        <f t="shared" si="11"/>
        <v>44.218186099999997</v>
      </c>
      <c r="P26" s="16">
        <f t="shared" si="11"/>
        <v>44.636585600000004</v>
      </c>
      <c r="Q26" s="16">
        <f t="shared" si="11"/>
        <v>49.726156500000002</v>
      </c>
      <c r="R26" s="14">
        <f t="shared" si="11"/>
        <v>64.693781599999994</v>
      </c>
      <c r="S26" s="18"/>
      <c r="T26" s="100" t="s">
        <v>72</v>
      </c>
      <c r="U26" s="126"/>
    </row>
    <row r="27" spans="2:21" s="4" customFormat="1" x14ac:dyDescent="0.25">
      <c r="B27" s="81" t="s">
        <v>19</v>
      </c>
      <c r="C27" s="18">
        <f>SUM(C19+C22+C25)</f>
        <v>0</v>
      </c>
      <c r="D27" s="18">
        <f t="shared" ref="D27:N27" si="12">SUM(D19+D22+D25)</f>
        <v>0</v>
      </c>
      <c r="E27" s="18">
        <f t="shared" si="12"/>
        <v>0</v>
      </c>
      <c r="F27" s="18">
        <f t="shared" si="12"/>
        <v>0</v>
      </c>
      <c r="G27" s="18">
        <f t="shared" si="12"/>
        <v>0</v>
      </c>
      <c r="H27" s="18">
        <f t="shared" si="12"/>
        <v>0</v>
      </c>
      <c r="I27" s="18">
        <f t="shared" si="12"/>
        <v>0</v>
      </c>
      <c r="J27" s="18">
        <f t="shared" si="12"/>
        <v>0</v>
      </c>
      <c r="K27" s="18">
        <f t="shared" si="12"/>
        <v>0</v>
      </c>
      <c r="L27" s="18">
        <f t="shared" si="12"/>
        <v>0</v>
      </c>
      <c r="M27" s="18">
        <f t="shared" si="12"/>
        <v>0</v>
      </c>
      <c r="N27" s="18">
        <f t="shared" si="12"/>
        <v>0</v>
      </c>
      <c r="O27" s="18">
        <f>SUM(O19+O22+O25)</f>
        <v>0</v>
      </c>
      <c r="P27" s="18">
        <f>SUM(P19+P22+P25)</f>
        <v>0</v>
      </c>
      <c r="Q27" s="18">
        <f>SUM(Q19+Q22+Q25)</f>
        <v>0</v>
      </c>
      <c r="R27" s="17">
        <f>SUM(R19+R22+R25)</f>
        <v>0</v>
      </c>
      <c r="S27" s="18"/>
      <c r="T27" s="100" t="s">
        <v>91</v>
      </c>
      <c r="U27" s="126"/>
    </row>
    <row r="28" spans="2:21" s="4" customFormat="1" ht="15.75" thickBot="1" x14ac:dyDescent="0.3">
      <c r="B28" s="8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7"/>
      <c r="S28" s="18"/>
      <c r="T28" s="100"/>
      <c r="U28" s="126"/>
    </row>
    <row r="29" spans="2:21" s="64" customFormat="1" ht="15.75" thickBot="1" x14ac:dyDescent="0.3">
      <c r="B29" s="70" t="s">
        <v>28</v>
      </c>
      <c r="C29" s="82">
        <v>0.113</v>
      </c>
      <c r="D29" s="82">
        <v>0.113</v>
      </c>
      <c r="E29" s="82">
        <v>0.113</v>
      </c>
      <c r="F29" s="82">
        <v>0.113</v>
      </c>
      <c r="G29" s="82">
        <v>0.113</v>
      </c>
      <c r="H29" s="82">
        <v>0.113</v>
      </c>
      <c r="I29" s="82">
        <v>8.6999999999999994E-2</v>
      </c>
      <c r="J29" s="82">
        <v>8.6999999999999994E-2</v>
      </c>
      <c r="K29" s="82">
        <v>0.20699999999999999</v>
      </c>
      <c r="L29" s="82">
        <v>0.20699999999999999</v>
      </c>
      <c r="M29" s="82">
        <v>0.12</v>
      </c>
      <c r="N29" s="82">
        <v>0.12</v>
      </c>
      <c r="O29" s="82">
        <v>0.26700000000000002</v>
      </c>
      <c r="P29" s="120">
        <v>0.26700000000000002</v>
      </c>
      <c r="Q29" s="154">
        <v>-0.14099999999999999</v>
      </c>
      <c r="R29" s="69">
        <v>-0.14099999999999999</v>
      </c>
      <c r="S29" s="106"/>
      <c r="T29" s="103" t="s">
        <v>134</v>
      </c>
      <c r="U29" s="83"/>
    </row>
    <row r="30" spans="2:21" s="4" customFormat="1" x14ac:dyDescent="0.25">
      <c r="B30" s="84" t="s">
        <v>20</v>
      </c>
      <c r="C30" s="57">
        <f>SUM(C27)*(1+C29)</f>
        <v>0</v>
      </c>
      <c r="D30" s="57">
        <f t="shared" ref="D30:N30" si="13">SUM(D27)*(1+D29)</f>
        <v>0</v>
      </c>
      <c r="E30" s="57">
        <f t="shared" si="13"/>
        <v>0</v>
      </c>
      <c r="F30" s="57">
        <f t="shared" si="13"/>
        <v>0</v>
      </c>
      <c r="G30" s="57">
        <f t="shared" si="13"/>
        <v>0</v>
      </c>
      <c r="H30" s="57">
        <f t="shared" si="13"/>
        <v>0</v>
      </c>
      <c r="I30" s="57">
        <f t="shared" si="13"/>
        <v>0</v>
      </c>
      <c r="J30" s="57">
        <f t="shared" si="13"/>
        <v>0</v>
      </c>
      <c r="K30" s="57">
        <f t="shared" si="13"/>
        <v>0</v>
      </c>
      <c r="L30" s="57">
        <f t="shared" si="13"/>
        <v>0</v>
      </c>
      <c r="M30" s="57">
        <f t="shared" si="13"/>
        <v>0</v>
      </c>
      <c r="N30" s="57">
        <f t="shared" si="13"/>
        <v>0</v>
      </c>
      <c r="O30" s="57">
        <f>SUM(O27)*(1+O29)</f>
        <v>0</v>
      </c>
      <c r="P30" s="57">
        <f>SUM(P27)*(1+P29)</f>
        <v>0</v>
      </c>
      <c r="Q30" s="57">
        <f>SUM(Q27)*(1+Q29)</f>
        <v>0</v>
      </c>
      <c r="R30" s="58">
        <f>SUM(R27)*(1+R29)</f>
        <v>0</v>
      </c>
      <c r="S30" s="110"/>
      <c r="T30" s="100" t="s">
        <v>99</v>
      </c>
      <c r="U30" s="126"/>
    </row>
    <row r="31" spans="2:21" s="4" customFormat="1" ht="15.75" thickBot="1" x14ac:dyDescent="0.3">
      <c r="B31" s="7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110"/>
      <c r="T31" s="100"/>
      <c r="U31" s="126"/>
    </row>
    <row r="32" spans="2:21" ht="15.75" thickBot="1" x14ac:dyDescent="0.3">
      <c r="B32" s="24" t="s">
        <v>52</v>
      </c>
      <c r="C32" s="123">
        <v>465.58645360000003</v>
      </c>
      <c r="D32" s="123">
        <v>400.7977975</v>
      </c>
      <c r="E32" s="123">
        <v>384.0911236</v>
      </c>
      <c r="F32" s="123">
        <v>255.40185410000001</v>
      </c>
      <c r="G32" s="123">
        <v>222.05114710000001</v>
      </c>
      <c r="H32" s="123">
        <v>174.01549539999999</v>
      </c>
      <c r="I32" s="123">
        <v>129.09329529999999</v>
      </c>
      <c r="J32" s="123">
        <v>108.3017935</v>
      </c>
      <c r="K32" s="123">
        <v>101.39001709999999</v>
      </c>
      <c r="L32" s="123">
        <v>99.097356379999994</v>
      </c>
      <c r="M32" s="123">
        <v>100.5550496</v>
      </c>
      <c r="N32" s="123">
        <v>105.2754585</v>
      </c>
      <c r="O32" s="123">
        <v>109.2181861</v>
      </c>
      <c r="P32" s="123">
        <v>109.6365856</v>
      </c>
      <c r="Q32" s="123">
        <v>114.7261565</v>
      </c>
      <c r="R32" s="123">
        <v>129.69378159999999</v>
      </c>
      <c r="S32" s="27"/>
      <c r="T32" s="100" t="s">
        <v>90</v>
      </c>
    </row>
    <row r="33" spans="2:21" x14ac:dyDescent="0.25">
      <c r="B33" s="47" t="s">
        <v>36</v>
      </c>
      <c r="C33" s="48">
        <f>C32+C30</f>
        <v>465.58645360000003</v>
      </c>
      <c r="D33" s="48">
        <f t="shared" ref="D33:N33" si="14">D32+D30</f>
        <v>400.7977975</v>
      </c>
      <c r="E33" s="48">
        <f t="shared" si="14"/>
        <v>384.0911236</v>
      </c>
      <c r="F33" s="48">
        <f t="shared" si="14"/>
        <v>255.40185410000001</v>
      </c>
      <c r="G33" s="48">
        <f t="shared" si="14"/>
        <v>222.05114710000001</v>
      </c>
      <c r="H33" s="48">
        <f t="shared" si="14"/>
        <v>174.01549539999999</v>
      </c>
      <c r="I33" s="48">
        <f t="shared" si="14"/>
        <v>129.09329529999999</v>
      </c>
      <c r="J33" s="48">
        <f t="shared" si="14"/>
        <v>108.3017935</v>
      </c>
      <c r="K33" s="48">
        <f t="shared" si="14"/>
        <v>101.39001709999999</v>
      </c>
      <c r="L33" s="48">
        <f t="shared" si="14"/>
        <v>99.097356379999994</v>
      </c>
      <c r="M33" s="48">
        <f t="shared" si="14"/>
        <v>100.5550496</v>
      </c>
      <c r="N33" s="48">
        <f t="shared" si="14"/>
        <v>105.2754585</v>
      </c>
      <c r="O33" s="48">
        <f>O32+O30</f>
        <v>109.2181861</v>
      </c>
      <c r="P33" s="48">
        <f>P32+P30</f>
        <v>109.6365856</v>
      </c>
      <c r="Q33" s="48">
        <f>Q32+Q30</f>
        <v>114.7261565</v>
      </c>
      <c r="R33" s="49">
        <f>R32+R30</f>
        <v>129.69378159999999</v>
      </c>
      <c r="S33" s="111"/>
      <c r="T33" s="100" t="s">
        <v>73</v>
      </c>
    </row>
    <row r="34" spans="2:21" s="4" customFormat="1" x14ac:dyDescent="0.25">
      <c r="B34" s="10" t="s">
        <v>8</v>
      </c>
      <c r="C34" s="8">
        <f>$C$16</f>
        <v>150</v>
      </c>
      <c r="D34" s="8">
        <f>$D$16</f>
        <v>150</v>
      </c>
      <c r="E34" s="8">
        <f>$E$16</f>
        <v>150</v>
      </c>
      <c r="F34" s="8">
        <f>$F$16</f>
        <v>150</v>
      </c>
      <c r="G34" s="8">
        <f>$G$16</f>
        <v>150</v>
      </c>
      <c r="H34" s="8">
        <f>$H$16</f>
        <v>100</v>
      </c>
      <c r="I34" s="8">
        <f>$I$16</f>
        <v>65</v>
      </c>
      <c r="J34" s="8">
        <f>$J$16</f>
        <v>65</v>
      </c>
      <c r="K34" s="8">
        <f>$K$16</f>
        <v>65</v>
      </c>
      <c r="L34" s="8">
        <f>$L$16</f>
        <v>65</v>
      </c>
      <c r="M34" s="8">
        <f>$M$16</f>
        <v>65</v>
      </c>
      <c r="N34" s="8">
        <f>$N$16</f>
        <v>65</v>
      </c>
      <c r="O34" s="8">
        <f>$O$16</f>
        <v>65</v>
      </c>
      <c r="P34" s="8">
        <f>$P$16</f>
        <v>65</v>
      </c>
      <c r="Q34" s="8">
        <f>$Q$16</f>
        <v>65</v>
      </c>
      <c r="R34" s="9">
        <f>$R$16</f>
        <v>65</v>
      </c>
      <c r="S34" s="112"/>
      <c r="T34" s="100" t="s">
        <v>74</v>
      </c>
      <c r="U34" s="126"/>
    </row>
    <row r="35" spans="2:21" s="4" customFormat="1" ht="15.75" thickBot="1" x14ac:dyDescent="0.3">
      <c r="B35" s="37" t="s">
        <v>9</v>
      </c>
      <c r="C35" s="38">
        <f>IF(C33&gt;C34,0,(C34-C33)*-1)</f>
        <v>0</v>
      </c>
      <c r="D35" s="38">
        <f t="shared" ref="D35:N35" si="15">IF(D33&gt;D34,0,(D34-D33)*-1)</f>
        <v>0</v>
      </c>
      <c r="E35" s="38">
        <f t="shared" si="15"/>
        <v>0</v>
      </c>
      <c r="F35" s="38">
        <f t="shared" si="15"/>
        <v>0</v>
      </c>
      <c r="G35" s="38">
        <f t="shared" si="15"/>
        <v>0</v>
      </c>
      <c r="H35" s="38">
        <f t="shared" si="15"/>
        <v>0</v>
      </c>
      <c r="I35" s="38">
        <f t="shared" si="15"/>
        <v>0</v>
      </c>
      <c r="J35" s="38">
        <f t="shared" si="15"/>
        <v>0</v>
      </c>
      <c r="K35" s="38">
        <f t="shared" si="15"/>
        <v>0</v>
      </c>
      <c r="L35" s="38">
        <f t="shared" si="15"/>
        <v>0</v>
      </c>
      <c r="M35" s="38">
        <f t="shared" si="15"/>
        <v>0</v>
      </c>
      <c r="N35" s="38">
        <f t="shared" si="15"/>
        <v>0</v>
      </c>
      <c r="O35" s="38">
        <f>IF(O33&gt;O34,0,(O34-O33)*-1)</f>
        <v>0</v>
      </c>
      <c r="P35" s="38">
        <f>IF(P33&gt;P34,0,(P34-P33)*-1)</f>
        <v>0</v>
      </c>
      <c r="Q35" s="38">
        <f>IF(Q33&gt;Q34,0,(Q34-Q33)*-1)</f>
        <v>0</v>
      </c>
      <c r="R35" s="39">
        <f>IF(R33&gt;R34,0,(R34-R33)*-1)</f>
        <v>0</v>
      </c>
      <c r="S35" s="105"/>
      <c r="T35" s="100" t="s">
        <v>75</v>
      </c>
      <c r="U35" s="126"/>
    </row>
    <row r="36" spans="2:21" s="4" customFormat="1" x14ac:dyDescent="0.25">
      <c r="B36" s="3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18"/>
      <c r="T36" s="100"/>
      <c r="U36" s="126"/>
    </row>
    <row r="37" spans="2:21" s="4" customFormat="1" x14ac:dyDescent="0.25">
      <c r="B37" s="85" t="s">
        <v>1</v>
      </c>
      <c r="C37" s="8">
        <v>87</v>
      </c>
      <c r="D37" s="8">
        <v>92</v>
      </c>
      <c r="E37" s="8">
        <v>97</v>
      </c>
      <c r="F37" s="8">
        <v>101</v>
      </c>
      <c r="G37" s="8">
        <v>103</v>
      </c>
      <c r="H37" s="8">
        <v>100</v>
      </c>
      <c r="I37" s="8">
        <v>85</v>
      </c>
      <c r="J37" s="8">
        <v>68</v>
      </c>
      <c r="K37" s="8">
        <v>59</v>
      </c>
      <c r="L37" s="8">
        <v>60</v>
      </c>
      <c r="M37" s="8">
        <v>62</v>
      </c>
      <c r="N37" s="8">
        <v>64</v>
      </c>
      <c r="O37" s="8">
        <v>69</v>
      </c>
      <c r="P37" s="8">
        <v>70</v>
      </c>
      <c r="Q37" s="8">
        <v>60</v>
      </c>
      <c r="R37" s="8">
        <v>60</v>
      </c>
      <c r="S37" s="112"/>
      <c r="T37" s="100"/>
      <c r="U37" s="126"/>
    </row>
    <row r="38" spans="2:21" s="4" customFormat="1" x14ac:dyDescent="0.25">
      <c r="B38" s="85" t="s">
        <v>0</v>
      </c>
      <c r="C38" s="8">
        <v>5</v>
      </c>
      <c r="D38" s="8">
        <v>5</v>
      </c>
      <c r="E38" s="8">
        <v>5</v>
      </c>
      <c r="F38" s="8">
        <v>5</v>
      </c>
      <c r="G38" s="8">
        <v>5</v>
      </c>
      <c r="H38" s="8">
        <v>5</v>
      </c>
      <c r="I38" s="8">
        <v>5</v>
      </c>
      <c r="J38" s="8">
        <v>5</v>
      </c>
      <c r="K38" s="8">
        <v>5</v>
      </c>
      <c r="L38" s="8">
        <v>5</v>
      </c>
      <c r="M38" s="8">
        <v>5</v>
      </c>
      <c r="N38" s="8">
        <v>5</v>
      </c>
      <c r="O38" s="8">
        <v>5</v>
      </c>
      <c r="P38" s="8">
        <v>5</v>
      </c>
      <c r="Q38" s="8">
        <v>0</v>
      </c>
      <c r="R38" s="8">
        <v>0</v>
      </c>
      <c r="S38" s="112"/>
      <c r="T38" s="100"/>
      <c r="U38" s="126"/>
    </row>
    <row r="39" spans="2:21" s="4" customFormat="1" x14ac:dyDescent="0.25">
      <c r="B39" s="86" t="s">
        <v>4</v>
      </c>
      <c r="C39" s="8">
        <f>C37+C38</f>
        <v>92</v>
      </c>
      <c r="D39" s="8">
        <f t="shared" ref="D39:N39" si="16">D37+D38</f>
        <v>97</v>
      </c>
      <c r="E39" s="8">
        <f t="shared" si="16"/>
        <v>102</v>
      </c>
      <c r="F39" s="8">
        <f t="shared" si="16"/>
        <v>106</v>
      </c>
      <c r="G39" s="8">
        <f t="shared" si="16"/>
        <v>108</v>
      </c>
      <c r="H39" s="8">
        <f t="shared" si="16"/>
        <v>105</v>
      </c>
      <c r="I39" s="8">
        <f t="shared" si="16"/>
        <v>90</v>
      </c>
      <c r="J39" s="8">
        <f t="shared" si="16"/>
        <v>73</v>
      </c>
      <c r="K39" s="8">
        <f t="shared" si="16"/>
        <v>64</v>
      </c>
      <c r="L39" s="8">
        <f t="shared" si="16"/>
        <v>65</v>
      </c>
      <c r="M39" s="8">
        <f t="shared" si="16"/>
        <v>67</v>
      </c>
      <c r="N39" s="8">
        <f t="shared" si="16"/>
        <v>69</v>
      </c>
      <c r="O39" s="8">
        <f>O37+O38</f>
        <v>74</v>
      </c>
      <c r="P39" s="8">
        <f>P37+P38</f>
        <v>75</v>
      </c>
      <c r="Q39" s="8">
        <f>Q37+Q38</f>
        <v>60</v>
      </c>
      <c r="R39" s="8">
        <f>R37+R38</f>
        <v>60</v>
      </c>
      <c r="S39" s="112"/>
      <c r="T39" s="100"/>
      <c r="U39" s="126"/>
    </row>
    <row r="40" spans="2:21" s="4" customFormat="1" x14ac:dyDescent="0.25">
      <c r="B40" s="8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12"/>
      <c r="T40" s="100"/>
      <c r="U40" s="126"/>
    </row>
    <row r="41" spans="2:21" ht="15.75" thickBot="1" x14ac:dyDescent="0.3">
      <c r="B41" s="59" t="s">
        <v>64</v>
      </c>
    </row>
    <row r="42" spans="2:21" s="30" customFormat="1" ht="15.75" thickBot="1" x14ac:dyDescent="0.3">
      <c r="B42" s="72" t="s">
        <v>5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121">
        <v>0</v>
      </c>
      <c r="R42" s="46">
        <v>0</v>
      </c>
      <c r="S42" s="105"/>
      <c r="T42" s="100" t="s">
        <v>78</v>
      </c>
      <c r="U42" s="29"/>
    </row>
    <row r="43" spans="2:21" s="5" customFormat="1" x14ac:dyDescent="0.25">
      <c r="B43" s="79" t="s">
        <v>7</v>
      </c>
      <c r="C43" s="16">
        <f>IF(C57&gt;C56,((C57-C56)*-1),((C56-C57)))</f>
        <v>129.75</v>
      </c>
      <c r="D43" s="16">
        <f t="shared" ref="D43:E43" si="17">IF(D57&gt;D56,((D57-D56)*-1),((D56-D57)))</f>
        <v>77.25</v>
      </c>
      <c r="E43" s="16">
        <f t="shared" si="17"/>
        <v>61.5</v>
      </c>
      <c r="F43" s="16">
        <f>IF(F57&gt;F56,((F57-F56)*-1),((F56-F57)))</f>
        <v>-38.25</v>
      </c>
      <c r="G43" s="16">
        <f>IF(G57&gt;G56,((G57-G56)*-1),((G56-G57)))</f>
        <v>-113.80657453000001</v>
      </c>
      <c r="H43" s="16">
        <f t="shared" ref="H43:R43" si="18">IF(H57&gt;H56,((H57-H56)*-1),((H56-H57)))</f>
        <v>-63.485045370000002</v>
      </c>
      <c r="I43" s="16">
        <f t="shared" si="18"/>
        <v>-36.283164479999996</v>
      </c>
      <c r="J43" s="16">
        <f t="shared" si="18"/>
        <v>-36.007713539999997</v>
      </c>
      <c r="K43" s="16">
        <f t="shared" si="18"/>
        <v>-33.388502889999998</v>
      </c>
      <c r="L43" s="16">
        <f t="shared" si="18"/>
        <v>-34.728886889999998</v>
      </c>
      <c r="M43" s="16">
        <f t="shared" si="18"/>
        <v>-31.858604159999999</v>
      </c>
      <c r="N43" s="16">
        <f t="shared" si="18"/>
        <v>-34.099166660000002</v>
      </c>
      <c r="O43" s="16">
        <f t="shared" si="18"/>
        <v>-31.326614579999998</v>
      </c>
      <c r="P43" s="16">
        <f t="shared" si="18"/>
        <v>-26.931128510000001</v>
      </c>
      <c r="Q43" s="16">
        <f t="shared" si="18"/>
        <v>-15.527628440000001</v>
      </c>
      <c r="R43" s="14">
        <f t="shared" si="18"/>
        <v>2.5501249999999942</v>
      </c>
      <c r="S43" s="18"/>
      <c r="T43" s="100" t="s">
        <v>72</v>
      </c>
      <c r="U43" s="6"/>
    </row>
    <row r="44" spans="2:21" s="5" customFormat="1" ht="15.75" thickBot="1" x14ac:dyDescent="0.3">
      <c r="B44" s="80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7"/>
      <c r="S44" s="18"/>
      <c r="T44" s="100"/>
      <c r="U44" s="6"/>
    </row>
    <row r="45" spans="2:21" ht="15.75" thickBot="1" x14ac:dyDescent="0.3">
      <c r="B45" s="73" t="s">
        <v>6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121">
        <v>0</v>
      </c>
      <c r="R45" s="46">
        <v>0</v>
      </c>
      <c r="S45" s="105"/>
      <c r="T45" s="100" t="s">
        <v>78</v>
      </c>
    </row>
    <row r="46" spans="2:21" s="12" customFormat="1" x14ac:dyDescent="0.25">
      <c r="B46" s="79" t="s">
        <v>7</v>
      </c>
      <c r="C46" s="16">
        <f>IF(C57&gt;C56,((C57-C56)*-1),((C56-C57)))</f>
        <v>129.75</v>
      </c>
      <c r="D46" s="16">
        <f t="shared" ref="D46:R46" si="19">IF(D57&gt;D56,((D57-D56)*-1),((D56-D57)))</f>
        <v>77.25</v>
      </c>
      <c r="E46" s="16">
        <f t="shared" si="19"/>
        <v>61.5</v>
      </c>
      <c r="F46" s="16">
        <f t="shared" si="19"/>
        <v>-38.25</v>
      </c>
      <c r="G46" s="16">
        <f t="shared" si="19"/>
        <v>-113.80657453000001</v>
      </c>
      <c r="H46" s="16">
        <f t="shared" si="19"/>
        <v>-63.485045370000002</v>
      </c>
      <c r="I46" s="16">
        <f t="shared" si="19"/>
        <v>-36.283164479999996</v>
      </c>
      <c r="J46" s="16">
        <f t="shared" si="19"/>
        <v>-36.007713539999997</v>
      </c>
      <c r="K46" s="16">
        <f t="shared" si="19"/>
        <v>-33.388502889999998</v>
      </c>
      <c r="L46" s="16">
        <f t="shared" si="19"/>
        <v>-34.728886889999998</v>
      </c>
      <c r="M46" s="16">
        <f t="shared" si="19"/>
        <v>-31.858604159999999</v>
      </c>
      <c r="N46" s="16">
        <f t="shared" si="19"/>
        <v>-34.099166660000002</v>
      </c>
      <c r="O46" s="16">
        <f t="shared" si="19"/>
        <v>-31.326614579999998</v>
      </c>
      <c r="P46" s="16">
        <f t="shared" si="19"/>
        <v>-26.931128510000001</v>
      </c>
      <c r="Q46" s="16">
        <f t="shared" si="19"/>
        <v>-15.527628440000001</v>
      </c>
      <c r="R46" s="14">
        <f t="shared" si="19"/>
        <v>2.5501249999999942</v>
      </c>
      <c r="S46" s="18"/>
      <c r="T46" s="100" t="s">
        <v>72</v>
      </c>
      <c r="U46" s="13"/>
    </row>
    <row r="47" spans="2:21" s="12" customFormat="1" ht="15.75" thickBot="1" x14ac:dyDescent="0.3">
      <c r="B47" s="8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7"/>
      <c r="S47" s="18"/>
      <c r="T47" s="100"/>
      <c r="U47" s="13"/>
    </row>
    <row r="48" spans="2:21" ht="15.75" thickBot="1" x14ac:dyDescent="0.3">
      <c r="B48" s="73" t="s">
        <v>60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121">
        <v>0</v>
      </c>
      <c r="R48" s="46">
        <v>0</v>
      </c>
      <c r="S48" s="105"/>
      <c r="T48" s="100" t="s">
        <v>78</v>
      </c>
    </row>
    <row r="49" spans="2:21" x14ac:dyDescent="0.25">
      <c r="B49" s="79" t="s">
        <v>7</v>
      </c>
      <c r="C49" s="16">
        <f>IF(C57&gt;C56,((C57-C56)*-1),((C56-C57)))</f>
        <v>129.75</v>
      </c>
      <c r="D49" s="16">
        <f t="shared" ref="D49:R49" si="20">IF(D57&gt;D56,((D57-D56)*-1),((D56-D57)))</f>
        <v>77.25</v>
      </c>
      <c r="E49" s="16">
        <f t="shared" si="20"/>
        <v>61.5</v>
      </c>
      <c r="F49" s="16">
        <f t="shared" si="20"/>
        <v>-38.25</v>
      </c>
      <c r="G49" s="16">
        <f t="shared" si="20"/>
        <v>-113.80657453000001</v>
      </c>
      <c r="H49" s="16">
        <f t="shared" si="20"/>
        <v>-63.485045370000002</v>
      </c>
      <c r="I49" s="16">
        <f t="shared" si="20"/>
        <v>-36.283164479999996</v>
      </c>
      <c r="J49" s="16">
        <f t="shared" si="20"/>
        <v>-36.007713539999997</v>
      </c>
      <c r="K49" s="16">
        <f t="shared" si="20"/>
        <v>-33.388502889999998</v>
      </c>
      <c r="L49" s="16">
        <f t="shared" si="20"/>
        <v>-34.728886889999998</v>
      </c>
      <c r="M49" s="16">
        <f t="shared" si="20"/>
        <v>-31.858604159999999</v>
      </c>
      <c r="N49" s="16">
        <f t="shared" si="20"/>
        <v>-34.099166660000002</v>
      </c>
      <c r="O49" s="16">
        <f t="shared" si="20"/>
        <v>-31.326614579999998</v>
      </c>
      <c r="P49" s="16">
        <f t="shared" si="20"/>
        <v>-26.931128510000001</v>
      </c>
      <c r="Q49" s="16">
        <f t="shared" si="20"/>
        <v>-15.527628440000001</v>
      </c>
      <c r="R49" s="14">
        <f t="shared" si="20"/>
        <v>2.5501249999999942</v>
      </c>
      <c r="S49" s="18"/>
      <c r="T49" s="100" t="s">
        <v>72</v>
      </c>
    </row>
    <row r="50" spans="2:21" x14ac:dyDescent="0.25">
      <c r="B50" s="81" t="s">
        <v>21</v>
      </c>
      <c r="C50" s="18">
        <f t="shared" ref="C50:N50" si="21">SUM(C42+C45+C48)</f>
        <v>0</v>
      </c>
      <c r="D50" s="18">
        <f t="shared" si="21"/>
        <v>0</v>
      </c>
      <c r="E50" s="18">
        <f t="shared" si="21"/>
        <v>0</v>
      </c>
      <c r="F50" s="18">
        <f t="shared" si="21"/>
        <v>0</v>
      </c>
      <c r="G50" s="18">
        <f t="shared" si="21"/>
        <v>0</v>
      </c>
      <c r="H50" s="18">
        <f t="shared" si="21"/>
        <v>0</v>
      </c>
      <c r="I50" s="18">
        <f t="shared" si="21"/>
        <v>0</v>
      </c>
      <c r="J50" s="18">
        <f t="shared" si="21"/>
        <v>0</v>
      </c>
      <c r="K50" s="18">
        <f t="shared" si="21"/>
        <v>0</v>
      </c>
      <c r="L50" s="18">
        <f t="shared" si="21"/>
        <v>0</v>
      </c>
      <c r="M50" s="18">
        <f t="shared" si="21"/>
        <v>0</v>
      </c>
      <c r="N50" s="18">
        <f t="shared" si="21"/>
        <v>0</v>
      </c>
      <c r="O50" s="18">
        <f>SUM(O42+O45+O48)</f>
        <v>0</v>
      </c>
      <c r="P50" s="18">
        <f>SUM(P42+P45+P48)</f>
        <v>0</v>
      </c>
      <c r="Q50" s="18">
        <f>SUM(Q42+Q45+Q48)</f>
        <v>0</v>
      </c>
      <c r="R50" s="17">
        <f>SUM(R42+R45+R48)</f>
        <v>0</v>
      </c>
      <c r="S50" s="18"/>
      <c r="T50" s="100" t="s">
        <v>92</v>
      </c>
    </row>
    <row r="51" spans="2:21" ht="15.75" thickBot="1" x14ac:dyDescent="0.3">
      <c r="B51" s="80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7"/>
      <c r="S51" s="18"/>
    </row>
    <row r="52" spans="2:21" s="64" customFormat="1" ht="15.75" thickBot="1" x14ac:dyDescent="0.3">
      <c r="B52" s="70" t="s">
        <v>69</v>
      </c>
      <c r="C52" s="69">
        <v>-0.06</v>
      </c>
      <c r="D52" s="69">
        <v>-0.06</v>
      </c>
      <c r="E52" s="69">
        <v>-0.06</v>
      </c>
      <c r="F52" s="69">
        <v>-0.06</v>
      </c>
      <c r="G52" s="69">
        <v>-0.06</v>
      </c>
      <c r="H52" s="69">
        <v>-0.06</v>
      </c>
      <c r="I52" s="69">
        <v>-9.9000000000000005E-2</v>
      </c>
      <c r="J52" s="69">
        <v>-9.9000000000000005E-2</v>
      </c>
      <c r="K52" s="69">
        <v>-0.09</v>
      </c>
      <c r="L52" s="69">
        <v>-0.09</v>
      </c>
      <c r="M52" s="69">
        <v>-0.13700000000000001</v>
      </c>
      <c r="N52" s="69">
        <v>-0.13700000000000001</v>
      </c>
      <c r="O52" s="82">
        <v>6.0000000000000001E-3</v>
      </c>
      <c r="P52" s="82">
        <v>6.0000000000000001E-3</v>
      </c>
      <c r="Q52" s="69">
        <v>-5.8999999999999997E-2</v>
      </c>
      <c r="R52" s="69">
        <v>-5.8999999999999997E-2</v>
      </c>
      <c r="S52" s="107"/>
      <c r="T52" s="103" t="s">
        <v>134</v>
      </c>
      <c r="U52" s="83"/>
    </row>
    <row r="53" spans="2:21" x14ac:dyDescent="0.25">
      <c r="B53" s="84" t="s">
        <v>20</v>
      </c>
      <c r="C53" s="57">
        <f t="shared" ref="C53:N53" si="22">SUM(C50+C30)*(1+C52)</f>
        <v>0</v>
      </c>
      <c r="D53" s="57">
        <f t="shared" si="22"/>
        <v>0</v>
      </c>
      <c r="E53" s="57">
        <f t="shared" si="22"/>
        <v>0</v>
      </c>
      <c r="F53" s="57">
        <f t="shared" si="22"/>
        <v>0</v>
      </c>
      <c r="G53" s="57">
        <f t="shared" si="22"/>
        <v>0</v>
      </c>
      <c r="H53" s="57">
        <f t="shared" si="22"/>
        <v>0</v>
      </c>
      <c r="I53" s="57">
        <f t="shared" si="22"/>
        <v>0</v>
      </c>
      <c r="J53" s="57">
        <f t="shared" si="22"/>
        <v>0</v>
      </c>
      <c r="K53" s="57">
        <f t="shared" si="22"/>
        <v>0</v>
      </c>
      <c r="L53" s="57">
        <f t="shared" si="22"/>
        <v>0</v>
      </c>
      <c r="M53" s="57">
        <f t="shared" si="22"/>
        <v>0</v>
      </c>
      <c r="N53" s="57">
        <f t="shared" si="22"/>
        <v>0</v>
      </c>
      <c r="O53" s="57">
        <f>SUM(O50+O30)*(1+O52)</f>
        <v>0</v>
      </c>
      <c r="P53" s="57">
        <f>SUM(P50+P30)*(1+P52)</f>
        <v>0</v>
      </c>
      <c r="Q53" s="57">
        <f>SUM(Q50+Q30)*(1+Q52)</f>
        <v>0</v>
      </c>
      <c r="R53" s="58">
        <f>SUM(R50+R30)*(1+R52)</f>
        <v>0</v>
      </c>
      <c r="S53" s="110"/>
      <c r="T53" s="100" t="s">
        <v>99</v>
      </c>
    </row>
    <row r="54" spans="2:21" ht="15.75" thickBot="1" x14ac:dyDescent="0.3">
      <c r="B54" s="7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3"/>
      <c r="S54" s="110"/>
    </row>
    <row r="55" spans="2:21" ht="15.75" thickBot="1" x14ac:dyDescent="0.3">
      <c r="B55" s="24" t="s">
        <v>53</v>
      </c>
      <c r="C55" s="50">
        <v>279.75</v>
      </c>
      <c r="D55" s="50">
        <v>227.25</v>
      </c>
      <c r="E55" s="50">
        <v>211.5</v>
      </c>
      <c r="F55" s="50">
        <v>111.75</v>
      </c>
      <c r="G55" s="123">
        <v>36.193425470000001</v>
      </c>
      <c r="H55" s="123">
        <v>36.514954629999998</v>
      </c>
      <c r="I55" s="123">
        <v>28.71683552</v>
      </c>
      <c r="J55" s="123">
        <v>28.992286459999999</v>
      </c>
      <c r="K55" s="123">
        <v>31.611497109999998</v>
      </c>
      <c r="L55" s="123">
        <v>30.271113110000002</v>
      </c>
      <c r="M55" s="123">
        <v>33.141395840000001</v>
      </c>
      <c r="N55" s="123">
        <v>30.900833339999998</v>
      </c>
      <c r="O55" s="123">
        <v>33.673385420000002</v>
      </c>
      <c r="P55" s="123">
        <v>38.068871489999999</v>
      </c>
      <c r="Q55" s="123">
        <v>49.472371559999999</v>
      </c>
      <c r="R55" s="123">
        <v>67.550124999999994</v>
      </c>
      <c r="S55" s="19"/>
      <c r="T55" s="100" t="s">
        <v>88</v>
      </c>
    </row>
    <row r="56" spans="2:21" ht="14.45" x14ac:dyDescent="0.3">
      <c r="B56" s="47" t="s">
        <v>37</v>
      </c>
      <c r="C56" s="48">
        <f>C55+C53</f>
        <v>279.75</v>
      </c>
      <c r="D56" s="48">
        <f t="shared" ref="D56:E56" si="23">D55+D53</f>
        <v>227.25</v>
      </c>
      <c r="E56" s="48">
        <f t="shared" si="23"/>
        <v>211.5</v>
      </c>
      <c r="F56" s="48">
        <f>F55+F53</f>
        <v>111.75</v>
      </c>
      <c r="G56" s="48">
        <f t="shared" ref="G56:H56" si="24">G55+G53</f>
        <v>36.193425470000001</v>
      </c>
      <c r="H56" s="48">
        <f t="shared" si="24"/>
        <v>36.514954629999998</v>
      </c>
      <c r="I56" s="48">
        <f>I55+I53</f>
        <v>28.71683552</v>
      </c>
      <c r="J56" s="48">
        <f t="shared" ref="J56:N56" si="25">J55+J53</f>
        <v>28.992286459999999</v>
      </c>
      <c r="K56" s="48">
        <f t="shared" si="25"/>
        <v>31.611497109999998</v>
      </c>
      <c r="L56" s="48">
        <f t="shared" si="25"/>
        <v>30.271113110000002</v>
      </c>
      <c r="M56" s="48">
        <f t="shared" si="25"/>
        <v>33.141395840000001</v>
      </c>
      <c r="N56" s="48">
        <f t="shared" si="25"/>
        <v>30.900833339999998</v>
      </c>
      <c r="O56" s="48">
        <f>O55+O53</f>
        <v>33.673385420000002</v>
      </c>
      <c r="P56" s="48">
        <f>P55+P53</f>
        <v>38.068871489999999</v>
      </c>
      <c r="Q56" s="48">
        <f>Q55+Q53</f>
        <v>49.472371559999999</v>
      </c>
      <c r="R56" s="49">
        <f>R55+R53</f>
        <v>67.550124999999994</v>
      </c>
      <c r="S56" s="111"/>
      <c r="T56" s="100" t="s">
        <v>73</v>
      </c>
    </row>
    <row r="57" spans="2:21" s="4" customFormat="1" ht="14.45" x14ac:dyDescent="0.3">
      <c r="B57" s="10" t="s">
        <v>8</v>
      </c>
      <c r="C57" s="8">
        <f>$C$16</f>
        <v>150</v>
      </c>
      <c r="D57" s="8">
        <f>$D$16</f>
        <v>150</v>
      </c>
      <c r="E57" s="8">
        <f>$E$16</f>
        <v>150</v>
      </c>
      <c r="F57" s="8">
        <f>$F$16</f>
        <v>150</v>
      </c>
      <c r="G57" s="8">
        <f>$G$16</f>
        <v>150</v>
      </c>
      <c r="H57" s="8">
        <f>$H$16</f>
        <v>100</v>
      </c>
      <c r="I57" s="8">
        <f>$I$16</f>
        <v>65</v>
      </c>
      <c r="J57" s="8">
        <f>$J$16</f>
        <v>65</v>
      </c>
      <c r="K57" s="8">
        <f>$K$16</f>
        <v>65</v>
      </c>
      <c r="L57" s="8">
        <f>$L$16</f>
        <v>65</v>
      </c>
      <c r="M57" s="8">
        <f>$M$16</f>
        <v>65</v>
      </c>
      <c r="N57" s="8">
        <f>$N$16</f>
        <v>65</v>
      </c>
      <c r="O57" s="8">
        <f>$O$16</f>
        <v>65</v>
      </c>
      <c r="P57" s="8">
        <f>$P$16</f>
        <v>65</v>
      </c>
      <c r="Q57" s="8">
        <f>$Q$16</f>
        <v>65</v>
      </c>
      <c r="R57" s="9">
        <f>$R$16</f>
        <v>65</v>
      </c>
      <c r="S57" s="112"/>
      <c r="T57" s="100" t="s">
        <v>74</v>
      </c>
      <c r="U57" s="126"/>
    </row>
    <row r="58" spans="2:21" s="30" customFormat="1" thickBot="1" x14ac:dyDescent="0.35">
      <c r="B58" s="37" t="s">
        <v>10</v>
      </c>
      <c r="C58" s="38">
        <f>IF(C56&gt;C57,0,(C57-C56)*-1)</f>
        <v>0</v>
      </c>
      <c r="D58" s="38">
        <f t="shared" ref="D58:N58" si="26">IF(D56&gt;D57,0,(D57-D56)*-1)</f>
        <v>0</v>
      </c>
      <c r="E58" s="38">
        <f t="shared" si="26"/>
        <v>0</v>
      </c>
      <c r="F58" s="38">
        <f>IF(F56&gt;F57,0,(F57-F56)*-1)</f>
        <v>-38.25</v>
      </c>
      <c r="G58" s="38">
        <f>IF(G56&gt;G57,0,(G57-G56)*-1)</f>
        <v>-113.80657453000001</v>
      </c>
      <c r="H58" s="38">
        <f t="shared" si="26"/>
        <v>-63.485045370000002</v>
      </c>
      <c r="I58" s="38">
        <f t="shared" si="26"/>
        <v>-36.283164479999996</v>
      </c>
      <c r="J58" s="38">
        <f t="shared" si="26"/>
        <v>-36.007713539999997</v>
      </c>
      <c r="K58" s="38">
        <f t="shared" si="26"/>
        <v>-33.388502889999998</v>
      </c>
      <c r="L58" s="38">
        <f t="shared" si="26"/>
        <v>-34.728886889999998</v>
      </c>
      <c r="M58" s="38">
        <f t="shared" si="26"/>
        <v>-31.858604159999999</v>
      </c>
      <c r="N58" s="38">
        <f t="shared" si="26"/>
        <v>-34.099166660000002</v>
      </c>
      <c r="O58" s="38">
        <f>IF(O56&gt;O57,0,(O57-O56)*-1)</f>
        <v>-31.326614579999998</v>
      </c>
      <c r="P58" s="38">
        <f>IF(P56&gt;P57,0,(P57-P56)*-1)</f>
        <v>-26.931128510000001</v>
      </c>
      <c r="Q58" s="38">
        <f>IF(Q56&gt;Q57,0,(Q57-Q56)*-1)</f>
        <v>-15.527628440000001</v>
      </c>
      <c r="R58" s="39">
        <f>IF(R56&gt;R57,0,(R57-R56)*-1)</f>
        <v>0</v>
      </c>
      <c r="S58" s="105"/>
      <c r="T58" s="100" t="s">
        <v>75</v>
      </c>
      <c r="U58" s="29"/>
    </row>
    <row r="59" spans="2:21" s="30" customFormat="1" ht="14.45" x14ac:dyDescent="0.3">
      <c r="B59" s="40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105"/>
      <c r="T59" s="104"/>
      <c r="U59" s="29"/>
    </row>
    <row r="60" spans="2:21" s="15" customFormat="1" thickBot="1" x14ac:dyDescent="0.35">
      <c r="B60" s="60" t="s">
        <v>63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8"/>
      <c r="T60" s="104"/>
      <c r="U60" s="7"/>
    </row>
    <row r="61" spans="2:21" thickBot="1" x14ac:dyDescent="0.35">
      <c r="B61" s="72" t="s">
        <v>5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121">
        <v>0</v>
      </c>
      <c r="R61" s="46">
        <v>0</v>
      </c>
      <c r="S61" s="105"/>
      <c r="T61" s="100" t="s">
        <v>77</v>
      </c>
    </row>
    <row r="62" spans="2:21" ht="14.45" x14ac:dyDescent="0.3">
      <c r="B62" s="79" t="s">
        <v>7</v>
      </c>
      <c r="C62" s="16">
        <f>IF(C76&gt;C75,((C76-C75)*-1),((C75-C76)))</f>
        <v>145.26822920000001</v>
      </c>
      <c r="D62" s="16">
        <f t="shared" ref="D62:E62" si="27">IF(D76&gt;D75,((D76-D75)*-1),((D75-D76)))</f>
        <v>109.96515360000001</v>
      </c>
      <c r="E62" s="16">
        <f t="shared" si="27"/>
        <v>94.1171875</v>
      </c>
      <c r="F62" s="16">
        <f>IF(F76&gt;F75,((F76-F75)*-1),((F75-F76)))</f>
        <v>15.408725400000009</v>
      </c>
      <c r="G62" s="16">
        <f>IF(G76&gt;G75,((G76-G75)*-1),((G75-G76)))</f>
        <v>-81.024819129999997</v>
      </c>
      <c r="H62" s="16">
        <f t="shared" ref="H62:R62" si="28">IF(H76&gt;H75,((H76-H75)*-1),((H75-H76)))</f>
        <v>-62.567904409999997</v>
      </c>
      <c r="I62" s="16">
        <f t="shared" si="28"/>
        <v>-48.220071860000004</v>
      </c>
      <c r="J62" s="16">
        <f t="shared" si="28"/>
        <v>-47.377864580000001</v>
      </c>
      <c r="K62" s="16">
        <f t="shared" si="28"/>
        <v>-47.008854159999999</v>
      </c>
      <c r="L62" s="16">
        <f t="shared" si="28"/>
        <v>-49.405405090000002</v>
      </c>
      <c r="M62" s="16">
        <f t="shared" si="28"/>
        <v>-44.983854269999995</v>
      </c>
      <c r="N62" s="16">
        <f t="shared" si="28"/>
        <v>-45.766223769999996</v>
      </c>
      <c r="O62" s="16">
        <f t="shared" si="28"/>
        <v>-41.542524389999997</v>
      </c>
      <c r="P62" s="16">
        <f t="shared" si="28"/>
        <v>-35.612579289999999</v>
      </c>
      <c r="Q62" s="16">
        <f t="shared" si="28"/>
        <v>-15.677163579999998</v>
      </c>
      <c r="R62" s="14">
        <f t="shared" si="28"/>
        <v>8.4874746100000067</v>
      </c>
      <c r="S62" s="18"/>
      <c r="T62" s="100" t="s">
        <v>72</v>
      </c>
    </row>
    <row r="63" spans="2:21" thickBot="1" x14ac:dyDescent="0.35">
      <c r="B63" s="80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7"/>
      <c r="S63" s="18"/>
    </row>
    <row r="64" spans="2:21" s="12" customFormat="1" thickBot="1" x14ac:dyDescent="0.35">
      <c r="B64" s="73" t="s">
        <v>6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121">
        <v>0</v>
      </c>
      <c r="R64" s="46">
        <v>0</v>
      </c>
      <c r="S64" s="105"/>
      <c r="T64" s="100" t="s">
        <v>77</v>
      </c>
      <c r="U64" s="13"/>
    </row>
    <row r="65" spans="2:21" s="4" customFormat="1" ht="14.45" x14ac:dyDescent="0.3">
      <c r="B65" s="79" t="s">
        <v>7</v>
      </c>
      <c r="C65" s="16">
        <f>IF(C76&gt;C75,((C76-C75)*-1),((C75-C76)))</f>
        <v>145.26822920000001</v>
      </c>
      <c r="D65" s="16">
        <f t="shared" ref="D65:R65" si="29">IF(D76&gt;D75,((D76-D75)*-1),((D75-D76)))</f>
        <v>109.96515360000001</v>
      </c>
      <c r="E65" s="16">
        <f t="shared" si="29"/>
        <v>94.1171875</v>
      </c>
      <c r="F65" s="16">
        <f t="shared" si="29"/>
        <v>15.408725400000009</v>
      </c>
      <c r="G65" s="16">
        <f t="shared" si="29"/>
        <v>-81.024819129999997</v>
      </c>
      <c r="H65" s="16">
        <f t="shared" si="29"/>
        <v>-62.567904409999997</v>
      </c>
      <c r="I65" s="16">
        <f t="shared" si="29"/>
        <v>-48.220071860000004</v>
      </c>
      <c r="J65" s="16">
        <f t="shared" si="29"/>
        <v>-47.377864580000001</v>
      </c>
      <c r="K65" s="16">
        <f t="shared" si="29"/>
        <v>-47.008854159999999</v>
      </c>
      <c r="L65" s="16">
        <f t="shared" si="29"/>
        <v>-49.405405090000002</v>
      </c>
      <c r="M65" s="16">
        <f t="shared" si="29"/>
        <v>-44.983854269999995</v>
      </c>
      <c r="N65" s="16">
        <f t="shared" si="29"/>
        <v>-45.766223769999996</v>
      </c>
      <c r="O65" s="16">
        <f t="shared" si="29"/>
        <v>-41.542524389999997</v>
      </c>
      <c r="P65" s="16">
        <f t="shared" si="29"/>
        <v>-35.612579289999999</v>
      </c>
      <c r="Q65" s="16">
        <f t="shared" si="29"/>
        <v>-15.677163579999998</v>
      </c>
      <c r="R65" s="14">
        <f t="shared" si="29"/>
        <v>8.4874746100000067</v>
      </c>
      <c r="S65" s="18"/>
      <c r="T65" s="100" t="s">
        <v>72</v>
      </c>
      <c r="U65" s="126"/>
    </row>
    <row r="66" spans="2:21" s="4" customFormat="1" thickBot="1" x14ac:dyDescent="0.35">
      <c r="B66" s="80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7"/>
      <c r="S66" s="18"/>
      <c r="T66" s="100"/>
      <c r="U66" s="126"/>
    </row>
    <row r="67" spans="2:21" thickBot="1" x14ac:dyDescent="0.35">
      <c r="B67" s="73" t="s">
        <v>60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121">
        <v>0</v>
      </c>
      <c r="R67" s="46">
        <v>0</v>
      </c>
      <c r="S67" s="105"/>
      <c r="T67" s="100" t="s">
        <v>77</v>
      </c>
    </row>
    <row r="68" spans="2:21" s="4" customFormat="1" ht="14.45" x14ac:dyDescent="0.3">
      <c r="B68" s="79" t="s">
        <v>7</v>
      </c>
      <c r="C68" s="16">
        <f>IF(C76&gt;C75,((C76-C75)*-1),((C75-C76)))</f>
        <v>145.26822920000001</v>
      </c>
      <c r="D68" s="16">
        <f t="shared" ref="D68:R68" si="30">IF(D76&gt;D75,((D76-D75)*-1),((D75-D76)))</f>
        <v>109.96515360000001</v>
      </c>
      <c r="E68" s="16">
        <f t="shared" si="30"/>
        <v>94.1171875</v>
      </c>
      <c r="F68" s="16">
        <f t="shared" si="30"/>
        <v>15.408725400000009</v>
      </c>
      <c r="G68" s="16">
        <f t="shared" si="30"/>
        <v>-81.024819129999997</v>
      </c>
      <c r="H68" s="16">
        <f t="shared" si="30"/>
        <v>-62.567904409999997</v>
      </c>
      <c r="I68" s="16">
        <f t="shared" si="30"/>
        <v>-48.220071860000004</v>
      </c>
      <c r="J68" s="16">
        <f t="shared" si="30"/>
        <v>-47.377864580000001</v>
      </c>
      <c r="K68" s="16">
        <f t="shared" si="30"/>
        <v>-47.008854159999999</v>
      </c>
      <c r="L68" s="16">
        <f t="shared" si="30"/>
        <v>-49.405405090000002</v>
      </c>
      <c r="M68" s="16">
        <f t="shared" si="30"/>
        <v>-44.983854269999995</v>
      </c>
      <c r="N68" s="16">
        <f t="shared" si="30"/>
        <v>-45.766223769999996</v>
      </c>
      <c r="O68" s="16">
        <f t="shared" si="30"/>
        <v>-41.542524389999997</v>
      </c>
      <c r="P68" s="16">
        <f t="shared" si="30"/>
        <v>-35.612579289999999</v>
      </c>
      <c r="Q68" s="16">
        <f t="shared" si="30"/>
        <v>-15.677163579999998</v>
      </c>
      <c r="R68" s="14">
        <f t="shared" si="30"/>
        <v>8.4874746100000067</v>
      </c>
      <c r="S68" s="18"/>
      <c r="T68" s="100" t="s">
        <v>72</v>
      </c>
      <c r="U68" s="126"/>
    </row>
    <row r="69" spans="2:21" ht="14.45" x14ac:dyDescent="0.3">
      <c r="B69" s="81" t="s">
        <v>22</v>
      </c>
      <c r="C69" s="18">
        <f t="shared" ref="C69:N69" si="31">SUM(C61+C64+C67)</f>
        <v>0</v>
      </c>
      <c r="D69" s="18">
        <f t="shared" si="31"/>
        <v>0</v>
      </c>
      <c r="E69" s="18">
        <f t="shared" si="31"/>
        <v>0</v>
      </c>
      <c r="F69" s="18">
        <f t="shared" si="31"/>
        <v>0</v>
      </c>
      <c r="G69" s="18">
        <f t="shared" si="31"/>
        <v>0</v>
      </c>
      <c r="H69" s="18">
        <f t="shared" si="31"/>
        <v>0</v>
      </c>
      <c r="I69" s="18">
        <f t="shared" si="31"/>
        <v>0</v>
      </c>
      <c r="J69" s="18">
        <f t="shared" si="31"/>
        <v>0</v>
      </c>
      <c r="K69" s="18">
        <f t="shared" si="31"/>
        <v>0</v>
      </c>
      <c r="L69" s="18">
        <f t="shared" si="31"/>
        <v>0</v>
      </c>
      <c r="M69" s="18">
        <f t="shared" si="31"/>
        <v>0</v>
      </c>
      <c r="N69" s="18">
        <f t="shared" si="31"/>
        <v>0</v>
      </c>
      <c r="O69" s="18">
        <f>SUM(O61+O64+O67)</f>
        <v>0</v>
      </c>
      <c r="P69" s="18">
        <f>SUM(P61+P64+P67)</f>
        <v>0</v>
      </c>
      <c r="Q69" s="18">
        <f>SUM(Q61+Q64+Q67)</f>
        <v>0</v>
      </c>
      <c r="R69" s="17">
        <f>SUM(R61+R64+R67)</f>
        <v>0</v>
      </c>
      <c r="S69" s="18"/>
      <c r="T69" s="100" t="s">
        <v>93</v>
      </c>
    </row>
    <row r="70" spans="2:21" s="32" customFormat="1" thickBot="1" x14ac:dyDescent="0.35">
      <c r="B70" s="80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7"/>
      <c r="S70" s="18"/>
      <c r="T70" s="100"/>
    </row>
    <row r="71" spans="2:21" s="64" customFormat="1" thickBot="1" x14ac:dyDescent="0.35">
      <c r="B71" s="70" t="s">
        <v>69</v>
      </c>
      <c r="C71" s="69">
        <v>-0.16</v>
      </c>
      <c r="D71" s="69">
        <v>-0.16</v>
      </c>
      <c r="E71" s="69">
        <v>-0.16</v>
      </c>
      <c r="F71" s="69">
        <v>-0.16</v>
      </c>
      <c r="G71" s="69">
        <v>-0.16</v>
      </c>
      <c r="H71" s="69">
        <v>-0.16</v>
      </c>
      <c r="I71" s="69">
        <v>-0.24</v>
      </c>
      <c r="J71" s="69">
        <v>-0.24</v>
      </c>
      <c r="K71" s="69">
        <v>-0.26500000000000001</v>
      </c>
      <c r="L71" s="69">
        <v>-0.26500000000000001</v>
      </c>
      <c r="M71" s="69">
        <v>-0.215</v>
      </c>
      <c r="N71" s="69">
        <v>-0.215</v>
      </c>
      <c r="O71" s="69">
        <v>-0.17</v>
      </c>
      <c r="P71" s="69">
        <v>-0.17</v>
      </c>
      <c r="Q71" s="82">
        <v>0.20899999999999999</v>
      </c>
      <c r="R71" s="82">
        <v>0.20899999999999999</v>
      </c>
      <c r="S71" s="107"/>
      <c r="T71" s="103" t="s">
        <v>135</v>
      </c>
    </row>
    <row r="72" spans="2:21" s="28" customFormat="1" ht="14.45" x14ac:dyDescent="0.3">
      <c r="B72" s="84" t="s">
        <v>20</v>
      </c>
      <c r="C72" s="57">
        <f>SUM(C69+C53)*(1+C71)</f>
        <v>0</v>
      </c>
      <c r="D72" s="57">
        <f t="shared" ref="D72:N72" si="32">SUM(D69+D53)*(1+D71)</f>
        <v>0</v>
      </c>
      <c r="E72" s="57">
        <f t="shared" si="32"/>
        <v>0</v>
      </c>
      <c r="F72" s="57">
        <f t="shared" si="32"/>
        <v>0</v>
      </c>
      <c r="G72" s="57">
        <f t="shared" si="32"/>
        <v>0</v>
      </c>
      <c r="H72" s="57">
        <f t="shared" si="32"/>
        <v>0</v>
      </c>
      <c r="I72" s="57">
        <f t="shared" si="32"/>
        <v>0</v>
      </c>
      <c r="J72" s="57">
        <f t="shared" si="32"/>
        <v>0</v>
      </c>
      <c r="K72" s="57">
        <f t="shared" si="32"/>
        <v>0</v>
      </c>
      <c r="L72" s="57">
        <f t="shared" si="32"/>
        <v>0</v>
      </c>
      <c r="M72" s="57">
        <f t="shared" si="32"/>
        <v>0</v>
      </c>
      <c r="N72" s="57">
        <f t="shared" si="32"/>
        <v>0</v>
      </c>
      <c r="O72" s="57">
        <f>SUM(O69+O53)*(1+O71)</f>
        <v>0</v>
      </c>
      <c r="P72" s="122">
        <f>SUM(P69+P53)*(1+P71)</f>
        <v>0</v>
      </c>
      <c r="Q72" s="57">
        <f>SUM(Q69+Q53)*(1+Q71)</f>
        <v>0</v>
      </c>
      <c r="R72" s="68">
        <f>SUM(R69+R53)*(1+R71)</f>
        <v>0</v>
      </c>
      <c r="S72" s="110"/>
      <c r="T72" s="100" t="s">
        <v>99</v>
      </c>
    </row>
    <row r="73" spans="2:21" s="21" customFormat="1" thickBot="1" x14ac:dyDescent="0.35">
      <c r="B73" s="7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3"/>
      <c r="S73" s="110"/>
      <c r="T73" s="100"/>
      <c r="U73" s="20"/>
    </row>
    <row r="74" spans="2:21" s="12" customFormat="1" thickBot="1" x14ac:dyDescent="0.35">
      <c r="B74" s="87" t="s">
        <v>54</v>
      </c>
      <c r="C74" s="123">
        <v>295.26822920000001</v>
      </c>
      <c r="D74" s="123">
        <v>259.96515360000001</v>
      </c>
      <c r="E74" s="123">
        <v>244.1171875</v>
      </c>
      <c r="F74" s="123">
        <v>165.40872540000001</v>
      </c>
      <c r="G74" s="123">
        <v>68.975180870000003</v>
      </c>
      <c r="H74" s="123">
        <v>37.432095590000003</v>
      </c>
      <c r="I74" s="123">
        <v>16.779928139999999</v>
      </c>
      <c r="J74" s="123">
        <v>17.622135419999999</v>
      </c>
      <c r="K74" s="123">
        <v>17.991145840000001</v>
      </c>
      <c r="L74" s="123">
        <v>15.59459491</v>
      </c>
      <c r="M74" s="123">
        <v>20.016145730000002</v>
      </c>
      <c r="N74" s="123">
        <v>19.23377623</v>
      </c>
      <c r="O74" s="123">
        <v>23.457475609999999</v>
      </c>
      <c r="P74" s="123">
        <v>29.387420710000001</v>
      </c>
      <c r="Q74" s="123">
        <v>49.322836420000002</v>
      </c>
      <c r="R74" s="123">
        <v>73.487474610000007</v>
      </c>
      <c r="S74" s="108"/>
      <c r="T74" s="100" t="s">
        <v>87</v>
      </c>
    </row>
    <row r="75" spans="2:21" s="12" customFormat="1" ht="14.45" x14ac:dyDescent="0.3">
      <c r="B75" s="88" t="s">
        <v>38</v>
      </c>
      <c r="C75" s="89">
        <f>C74+C72</f>
        <v>295.26822920000001</v>
      </c>
      <c r="D75" s="89">
        <f t="shared" ref="D75:E75" si="33">D74+D72</f>
        <v>259.96515360000001</v>
      </c>
      <c r="E75" s="89">
        <f t="shared" si="33"/>
        <v>244.1171875</v>
      </c>
      <c r="F75" s="89">
        <f>F74+F72</f>
        <v>165.40872540000001</v>
      </c>
      <c r="G75" s="89">
        <f t="shared" ref="G75:H75" si="34">G74+G72</f>
        <v>68.975180870000003</v>
      </c>
      <c r="H75" s="89">
        <f t="shared" si="34"/>
        <v>37.432095590000003</v>
      </c>
      <c r="I75" s="89">
        <f>I74+I72</f>
        <v>16.779928139999999</v>
      </c>
      <c r="J75" s="89">
        <f t="shared" ref="J75:N75" si="35">J74+J72</f>
        <v>17.622135419999999</v>
      </c>
      <c r="K75" s="89">
        <f t="shared" si="35"/>
        <v>17.991145840000001</v>
      </c>
      <c r="L75" s="89">
        <f t="shared" si="35"/>
        <v>15.59459491</v>
      </c>
      <c r="M75" s="89">
        <f t="shared" si="35"/>
        <v>20.016145730000002</v>
      </c>
      <c r="N75" s="89">
        <f t="shared" si="35"/>
        <v>19.23377623</v>
      </c>
      <c r="O75" s="89">
        <f>O74+O72</f>
        <v>23.457475609999999</v>
      </c>
      <c r="P75" s="89">
        <f>P74+P72</f>
        <v>29.387420710000001</v>
      </c>
      <c r="Q75" s="89">
        <f>Q74+Q72</f>
        <v>49.322836420000002</v>
      </c>
      <c r="R75" s="90">
        <f>R74+R72</f>
        <v>73.487474610000007</v>
      </c>
      <c r="S75" s="113"/>
      <c r="T75" s="100" t="s">
        <v>73</v>
      </c>
    </row>
    <row r="76" spans="2:21" s="4" customFormat="1" ht="14.45" x14ac:dyDescent="0.3">
      <c r="B76" s="10" t="s">
        <v>8</v>
      </c>
      <c r="C76" s="8">
        <f>$C$16</f>
        <v>150</v>
      </c>
      <c r="D76" s="8">
        <f>$D$16</f>
        <v>150</v>
      </c>
      <c r="E76" s="8">
        <f>$E$16</f>
        <v>150</v>
      </c>
      <c r="F76" s="8">
        <f>$F$16</f>
        <v>150</v>
      </c>
      <c r="G76" s="8">
        <f>$G$16</f>
        <v>150</v>
      </c>
      <c r="H76" s="8">
        <f>$H$16</f>
        <v>100</v>
      </c>
      <c r="I76" s="8">
        <f>$I$16</f>
        <v>65</v>
      </c>
      <c r="J76" s="8">
        <f>$J$16</f>
        <v>65</v>
      </c>
      <c r="K76" s="8">
        <f>$K$16</f>
        <v>65</v>
      </c>
      <c r="L76" s="8">
        <f>$L$16</f>
        <v>65</v>
      </c>
      <c r="M76" s="8">
        <f>$M$16</f>
        <v>65</v>
      </c>
      <c r="N76" s="8">
        <f>$N$16</f>
        <v>65</v>
      </c>
      <c r="O76" s="8">
        <f>$O$16</f>
        <v>65</v>
      </c>
      <c r="P76" s="8">
        <f>$P$16</f>
        <v>65</v>
      </c>
      <c r="Q76" s="8">
        <f>$Q$16</f>
        <v>65</v>
      </c>
      <c r="R76" s="9">
        <f>$R$16</f>
        <v>65</v>
      </c>
      <c r="S76" s="112"/>
      <c r="T76" s="100" t="s">
        <v>74</v>
      </c>
    </row>
    <row r="77" spans="2:21" thickBot="1" x14ac:dyDescent="0.35">
      <c r="B77" s="37" t="s">
        <v>12</v>
      </c>
      <c r="C77" s="38">
        <f>IF(C75&gt;C76,0,(C76-C75)*-1)</f>
        <v>0</v>
      </c>
      <c r="D77" s="38">
        <f t="shared" ref="D77:E77" si="36">IF(D75&gt;D76,0,(D76-D75)*-1)</f>
        <v>0</v>
      </c>
      <c r="E77" s="38">
        <f t="shared" si="36"/>
        <v>0</v>
      </c>
      <c r="F77" s="38">
        <f>IF(F75&gt;F76,0,(F76-F75)*-1)</f>
        <v>0</v>
      </c>
      <c r="G77" s="38">
        <f t="shared" ref="G77:N77" si="37">IF(G75&gt;G76,0,(G76-G75)*-1)</f>
        <v>-81.024819129999997</v>
      </c>
      <c r="H77" s="38">
        <f t="shared" si="37"/>
        <v>-62.567904409999997</v>
      </c>
      <c r="I77" s="38">
        <f t="shared" si="37"/>
        <v>-48.220071860000004</v>
      </c>
      <c r="J77" s="38">
        <f t="shared" si="37"/>
        <v>-47.377864580000001</v>
      </c>
      <c r="K77" s="38">
        <f t="shared" si="37"/>
        <v>-47.008854159999999</v>
      </c>
      <c r="L77" s="38">
        <f t="shared" si="37"/>
        <v>-49.405405090000002</v>
      </c>
      <c r="M77" s="38">
        <f t="shared" si="37"/>
        <v>-44.983854269999995</v>
      </c>
      <c r="N77" s="38">
        <f t="shared" si="37"/>
        <v>-45.766223769999996</v>
      </c>
      <c r="O77" s="38">
        <f>IF(O75&gt;O76,0,(O76-O75)*-1)</f>
        <v>-41.542524389999997</v>
      </c>
      <c r="P77" s="38">
        <f>IF(P75&gt;P76,0,(P76-P75)*-1)</f>
        <v>-35.612579289999999</v>
      </c>
      <c r="Q77" s="38">
        <f>IF(Q75&gt;Q76,0,(Q76-Q75)*-1)</f>
        <v>-15.677163579999998</v>
      </c>
      <c r="R77" s="39">
        <f>IF(R75&gt;R76,0,(R76-R75)*-1)</f>
        <v>0</v>
      </c>
      <c r="S77" s="105"/>
      <c r="T77" s="100" t="s">
        <v>75</v>
      </c>
    </row>
    <row r="78" spans="2:21" ht="14.45" x14ac:dyDescent="0.3">
      <c r="B78" s="9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110"/>
    </row>
    <row r="80" spans="2:21" ht="14.45" x14ac:dyDescent="0.3">
      <c r="B80" s="35" t="s">
        <v>3</v>
      </c>
      <c r="C80" s="34">
        <v>30</v>
      </c>
      <c r="D80" s="34">
        <v>30</v>
      </c>
      <c r="E80" s="34">
        <v>30</v>
      </c>
      <c r="F80" s="34">
        <v>30</v>
      </c>
      <c r="G80" s="34">
        <v>10</v>
      </c>
      <c r="H80" s="34">
        <v>10</v>
      </c>
      <c r="I80" s="34">
        <v>5</v>
      </c>
      <c r="J80" s="34">
        <v>5</v>
      </c>
      <c r="K80" s="34">
        <v>3</v>
      </c>
      <c r="L80" s="34">
        <v>3</v>
      </c>
      <c r="M80" s="34">
        <v>8</v>
      </c>
      <c r="N80" s="34">
        <v>8</v>
      </c>
      <c r="O80" s="34">
        <v>10</v>
      </c>
      <c r="P80" s="34">
        <v>10</v>
      </c>
      <c r="Q80" s="34">
        <v>20</v>
      </c>
      <c r="R80" s="34">
        <v>20</v>
      </c>
      <c r="S80" s="63"/>
      <c r="T80" s="100" t="s">
        <v>100</v>
      </c>
    </row>
    <row r="81" spans="2:21" s="12" customFormat="1" ht="14.45" x14ac:dyDescent="0.3">
      <c r="B81" s="2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02"/>
    </row>
    <row r="82" spans="2:21" s="4" customFormat="1" ht="14.45" x14ac:dyDescent="0.3">
      <c r="B82" s="86" t="s">
        <v>11</v>
      </c>
      <c r="C82" s="92">
        <v>90</v>
      </c>
      <c r="D82" s="92">
        <v>75</v>
      </c>
      <c r="E82" s="92">
        <v>50</v>
      </c>
      <c r="F82" s="92">
        <v>50</v>
      </c>
      <c r="G82" s="92">
        <v>35</v>
      </c>
      <c r="H82" s="92">
        <v>30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  <c r="O82" s="92">
        <v>32</v>
      </c>
      <c r="P82" s="92">
        <v>36</v>
      </c>
      <c r="Q82" s="92">
        <v>58</v>
      </c>
      <c r="R82" s="92">
        <v>58</v>
      </c>
      <c r="S82" s="114"/>
      <c r="T82" s="100"/>
    </row>
    <row r="83" spans="2:21" s="4" customFormat="1" ht="14.45" x14ac:dyDescent="0.3">
      <c r="B83" s="86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114"/>
      <c r="T83" s="100"/>
    </row>
    <row r="84" spans="2:21" s="4" customFormat="1" thickBot="1" x14ac:dyDescent="0.35">
      <c r="B84" s="61" t="s">
        <v>61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114"/>
      <c r="T84" s="100"/>
    </row>
    <row r="85" spans="2:21" thickBot="1" x14ac:dyDescent="0.35">
      <c r="B85" s="72" t="s">
        <v>5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121">
        <v>0</v>
      </c>
      <c r="R85" s="46">
        <v>0</v>
      </c>
      <c r="S85" s="105"/>
      <c r="T85" s="100" t="s">
        <v>76</v>
      </c>
    </row>
    <row r="86" spans="2:21" ht="14.45" x14ac:dyDescent="0.3">
      <c r="B86" s="79" t="s">
        <v>7</v>
      </c>
      <c r="C86" s="16">
        <f>IF(C100&gt;C99,((C100-C99)*-1),((C99-C100)))</f>
        <v>190.65885420000001</v>
      </c>
      <c r="D86" s="16">
        <f t="shared" ref="D86:E86" si="38">IF(D100&gt;D99,((D100-D99)*-1),((D99-D100)))</f>
        <v>127.40364579999999</v>
      </c>
      <c r="E86" s="16">
        <f t="shared" si="38"/>
        <v>109.20572920000001</v>
      </c>
      <c r="F86" s="16">
        <f>IF(F100&gt;F99,((F100-F99)*-1),((F99-F100)))</f>
        <v>52.002604200000007</v>
      </c>
      <c r="G86" s="16">
        <f>IF(G100&gt;G99,((G100-G99)*-1),((G99-G100)))</f>
        <v>-74.618750000000006</v>
      </c>
      <c r="H86" s="16">
        <f t="shared" ref="H86:R86" si="39">IF(H100&gt;H99,((H100-H99)*-1),((H99-H100)))</f>
        <v>-59.813802080000002</v>
      </c>
      <c r="I86" s="16">
        <f t="shared" si="39"/>
        <v>-34.698437499999997</v>
      </c>
      <c r="J86" s="16">
        <f t="shared" si="39"/>
        <v>-30.499739580000004</v>
      </c>
      <c r="K86" s="16">
        <f t="shared" si="39"/>
        <v>-30.696354169999999</v>
      </c>
      <c r="L86" s="16">
        <f t="shared" si="39"/>
        <v>-29.962499999999999</v>
      </c>
      <c r="M86" s="16">
        <f t="shared" si="39"/>
        <v>-22.131250000000001</v>
      </c>
      <c r="N86" s="16">
        <f t="shared" si="39"/>
        <v>-16.096093750000001</v>
      </c>
      <c r="O86" s="16">
        <f t="shared" si="39"/>
        <v>-36.322395830000005</v>
      </c>
      <c r="P86" s="16">
        <f t="shared" si="39"/>
        <v>-41.881250000000001</v>
      </c>
      <c r="Q86" s="16">
        <f t="shared" si="39"/>
        <v>-41.456770829999996</v>
      </c>
      <c r="R86" s="14">
        <f t="shared" si="39"/>
        <v>-28.934375000000003</v>
      </c>
      <c r="S86" s="18"/>
      <c r="T86" s="100" t="s">
        <v>72</v>
      </c>
    </row>
    <row r="87" spans="2:21" thickBot="1" x14ac:dyDescent="0.35">
      <c r="B87" s="80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7"/>
      <c r="S87" s="18"/>
    </row>
    <row r="88" spans="2:21" s="4" customFormat="1" thickBot="1" x14ac:dyDescent="0.35">
      <c r="B88" s="73" t="s">
        <v>6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121">
        <v>0</v>
      </c>
      <c r="R88" s="46">
        <v>0</v>
      </c>
      <c r="S88" s="105"/>
      <c r="T88" s="100" t="s">
        <v>76</v>
      </c>
      <c r="U88" s="126"/>
    </row>
    <row r="89" spans="2:21" ht="14.45" x14ac:dyDescent="0.3">
      <c r="B89" s="79" t="s">
        <v>7</v>
      </c>
      <c r="C89" s="16">
        <f>IF(C100&gt;C99,((C100-C99)*-1),((C99-C100)))</f>
        <v>190.65885420000001</v>
      </c>
      <c r="D89" s="16">
        <f t="shared" ref="D89:R89" si="40">IF(D100&gt;D99,((D100-D99)*-1),((D99-D100)))</f>
        <v>127.40364579999999</v>
      </c>
      <c r="E89" s="16">
        <f t="shared" si="40"/>
        <v>109.20572920000001</v>
      </c>
      <c r="F89" s="16">
        <f t="shared" si="40"/>
        <v>52.002604200000007</v>
      </c>
      <c r="G89" s="16">
        <f t="shared" si="40"/>
        <v>-74.618750000000006</v>
      </c>
      <c r="H89" s="16">
        <f t="shared" si="40"/>
        <v>-59.813802080000002</v>
      </c>
      <c r="I89" s="16">
        <f t="shared" si="40"/>
        <v>-34.698437499999997</v>
      </c>
      <c r="J89" s="16">
        <f t="shared" si="40"/>
        <v>-30.499739580000004</v>
      </c>
      <c r="K89" s="16">
        <f t="shared" si="40"/>
        <v>-30.696354169999999</v>
      </c>
      <c r="L89" s="16">
        <f t="shared" si="40"/>
        <v>-29.962499999999999</v>
      </c>
      <c r="M89" s="16">
        <f t="shared" si="40"/>
        <v>-22.131250000000001</v>
      </c>
      <c r="N89" s="16">
        <f t="shared" si="40"/>
        <v>-16.096093750000001</v>
      </c>
      <c r="O89" s="16">
        <f t="shared" si="40"/>
        <v>-36.322395830000005</v>
      </c>
      <c r="P89" s="16">
        <f t="shared" si="40"/>
        <v>-41.881250000000001</v>
      </c>
      <c r="Q89" s="16">
        <f t="shared" si="40"/>
        <v>-41.456770829999996</v>
      </c>
      <c r="R89" s="14">
        <f t="shared" si="40"/>
        <v>-28.934375000000003</v>
      </c>
      <c r="S89" s="18"/>
      <c r="T89" s="100" t="s">
        <v>72</v>
      </c>
    </row>
    <row r="90" spans="2:21" s="4" customFormat="1" thickBot="1" x14ac:dyDescent="0.35">
      <c r="B90" s="80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7"/>
      <c r="S90" s="18"/>
      <c r="T90" s="100"/>
      <c r="U90" s="126"/>
    </row>
    <row r="91" spans="2:21" s="28" customFormat="1" thickBot="1" x14ac:dyDescent="0.35">
      <c r="B91" s="73" t="s">
        <v>60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121">
        <v>0</v>
      </c>
      <c r="R91" s="46">
        <v>0</v>
      </c>
      <c r="S91" s="105"/>
      <c r="T91" s="100" t="s">
        <v>76</v>
      </c>
    </row>
    <row r="92" spans="2:21" s="4" customFormat="1" ht="14.45" x14ac:dyDescent="0.3">
      <c r="B92" s="79" t="s">
        <v>7</v>
      </c>
      <c r="C92" s="16">
        <f>IF(C100&gt;C99,((C100-C99)*-1),((C99-C100)))</f>
        <v>190.65885420000001</v>
      </c>
      <c r="D92" s="16">
        <f t="shared" ref="D92:R92" si="41">IF(D100&gt;D99,((D100-D99)*-1),((D99-D100)))</f>
        <v>127.40364579999999</v>
      </c>
      <c r="E92" s="16">
        <f t="shared" si="41"/>
        <v>109.20572920000001</v>
      </c>
      <c r="F92" s="16">
        <f t="shared" si="41"/>
        <v>52.002604200000007</v>
      </c>
      <c r="G92" s="16">
        <f t="shared" si="41"/>
        <v>-74.618750000000006</v>
      </c>
      <c r="H92" s="16">
        <f t="shared" si="41"/>
        <v>-59.813802080000002</v>
      </c>
      <c r="I92" s="16">
        <f t="shared" si="41"/>
        <v>-34.698437499999997</v>
      </c>
      <c r="J92" s="16">
        <f t="shared" si="41"/>
        <v>-30.499739580000004</v>
      </c>
      <c r="K92" s="16">
        <f t="shared" si="41"/>
        <v>-30.696354169999999</v>
      </c>
      <c r="L92" s="16">
        <f t="shared" si="41"/>
        <v>-29.962499999999999</v>
      </c>
      <c r="M92" s="16">
        <f t="shared" si="41"/>
        <v>-22.131250000000001</v>
      </c>
      <c r="N92" s="16">
        <f t="shared" si="41"/>
        <v>-16.096093750000001</v>
      </c>
      <c r="O92" s="16">
        <f t="shared" si="41"/>
        <v>-36.322395830000005</v>
      </c>
      <c r="P92" s="16">
        <f t="shared" si="41"/>
        <v>-41.881250000000001</v>
      </c>
      <c r="Q92" s="16">
        <f t="shared" si="41"/>
        <v>-41.456770829999996</v>
      </c>
      <c r="R92" s="14">
        <f t="shared" si="41"/>
        <v>-28.934375000000003</v>
      </c>
      <c r="S92" s="18"/>
      <c r="T92" s="100" t="s">
        <v>72</v>
      </c>
      <c r="U92" s="126"/>
    </row>
    <row r="93" spans="2:21" s="4" customFormat="1" ht="14.45" x14ac:dyDescent="0.3">
      <c r="B93" s="81" t="s">
        <v>23</v>
      </c>
      <c r="C93" s="18">
        <f t="shared" ref="C93:N93" si="42">SUM(C85+C88+C91)</f>
        <v>0</v>
      </c>
      <c r="D93" s="18">
        <f t="shared" si="42"/>
        <v>0</v>
      </c>
      <c r="E93" s="18">
        <f t="shared" si="42"/>
        <v>0</v>
      </c>
      <c r="F93" s="18">
        <f t="shared" si="42"/>
        <v>0</v>
      </c>
      <c r="G93" s="18">
        <f t="shared" si="42"/>
        <v>0</v>
      </c>
      <c r="H93" s="18">
        <f t="shared" si="42"/>
        <v>0</v>
      </c>
      <c r="I93" s="18">
        <f t="shared" si="42"/>
        <v>0</v>
      </c>
      <c r="J93" s="18">
        <f t="shared" si="42"/>
        <v>0</v>
      </c>
      <c r="K93" s="18">
        <f t="shared" si="42"/>
        <v>0</v>
      </c>
      <c r="L93" s="18">
        <f t="shared" si="42"/>
        <v>0</v>
      </c>
      <c r="M93" s="18">
        <f t="shared" si="42"/>
        <v>0</v>
      </c>
      <c r="N93" s="18">
        <f t="shared" si="42"/>
        <v>0</v>
      </c>
      <c r="O93" s="18">
        <f>SUM(O85+O88+O91)</f>
        <v>0</v>
      </c>
      <c r="P93" s="18">
        <f>SUM(P85+P88+P91)</f>
        <v>0</v>
      </c>
      <c r="Q93" s="18">
        <f>SUM(Q85+Q88+Q91)</f>
        <v>0</v>
      </c>
      <c r="R93" s="17">
        <f>SUM(R85+R88+R91)</f>
        <v>0</v>
      </c>
      <c r="S93" s="18"/>
      <c r="T93" s="100" t="s">
        <v>94</v>
      </c>
      <c r="U93" s="126"/>
    </row>
    <row r="94" spans="2:21" s="26" customFormat="1" thickBot="1" x14ac:dyDescent="0.35">
      <c r="B94" s="80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7"/>
      <c r="S94" s="18"/>
      <c r="T94" s="100"/>
      <c r="U94" s="25"/>
    </row>
    <row r="95" spans="2:21" s="64" customFormat="1" thickBot="1" x14ac:dyDescent="0.35">
      <c r="B95" s="70" t="s">
        <v>69</v>
      </c>
      <c r="C95" s="69">
        <v>-0.107</v>
      </c>
      <c r="D95" s="69">
        <v>-0.107</v>
      </c>
      <c r="E95" s="69">
        <v>-0.107</v>
      </c>
      <c r="F95" s="69">
        <v>-0.107</v>
      </c>
      <c r="G95" s="69">
        <v>-0.107</v>
      </c>
      <c r="H95" s="69">
        <v>-0.107</v>
      </c>
      <c r="I95" s="82">
        <v>1.6E-2</v>
      </c>
      <c r="J95" s="82">
        <v>1.6E-2</v>
      </c>
      <c r="K95" s="69">
        <v>-1.9E-2</v>
      </c>
      <c r="L95" s="69">
        <v>-1.9E-2</v>
      </c>
      <c r="M95" s="69">
        <v>-4.2999999999999997E-2</v>
      </c>
      <c r="N95" s="69">
        <v>-4.2999999999999997E-2</v>
      </c>
      <c r="O95" s="69">
        <v>-2.7E-2</v>
      </c>
      <c r="P95" s="69">
        <v>-2.7E-2</v>
      </c>
      <c r="Q95" s="69">
        <v>-3.3000000000000002E-2</v>
      </c>
      <c r="R95" s="69">
        <v>-3.3000000000000002E-2</v>
      </c>
      <c r="S95" s="107"/>
      <c r="T95" s="103" t="s">
        <v>134</v>
      </c>
      <c r="U95" s="83"/>
    </row>
    <row r="96" spans="2:21" ht="14.45" x14ac:dyDescent="0.3">
      <c r="B96" s="84" t="s">
        <v>20</v>
      </c>
      <c r="C96" s="57">
        <f>SUM(C93+C72)*(1+C95)</f>
        <v>0</v>
      </c>
      <c r="D96" s="57">
        <f t="shared" ref="D96:N96" si="43">SUM(D93+D72)*(1+D95)</f>
        <v>0</v>
      </c>
      <c r="E96" s="57">
        <f t="shared" si="43"/>
        <v>0</v>
      </c>
      <c r="F96" s="57">
        <f t="shared" si="43"/>
        <v>0</v>
      </c>
      <c r="G96" s="57">
        <f t="shared" si="43"/>
        <v>0</v>
      </c>
      <c r="H96" s="57">
        <f t="shared" si="43"/>
        <v>0</v>
      </c>
      <c r="I96" s="57">
        <f t="shared" si="43"/>
        <v>0</v>
      </c>
      <c r="J96" s="57">
        <f t="shared" si="43"/>
        <v>0</v>
      </c>
      <c r="K96" s="57">
        <f t="shared" si="43"/>
        <v>0</v>
      </c>
      <c r="L96" s="57">
        <f t="shared" si="43"/>
        <v>0</v>
      </c>
      <c r="M96" s="57">
        <f t="shared" si="43"/>
        <v>0</v>
      </c>
      <c r="N96" s="57">
        <f t="shared" si="43"/>
        <v>0</v>
      </c>
      <c r="O96" s="57">
        <f>SUM(O93+O72)*(1+O95)</f>
        <v>0</v>
      </c>
      <c r="P96" s="57">
        <f>SUM(P93+P72)*(1+P95)</f>
        <v>0</v>
      </c>
      <c r="Q96" s="57">
        <f>SUM(Q93+Q72)*(1+Q95)</f>
        <v>0</v>
      </c>
      <c r="R96" s="58">
        <f>SUM(R93+R72)*(1+R95)</f>
        <v>0</v>
      </c>
      <c r="S96" s="110"/>
      <c r="T96" s="100" t="s">
        <v>99</v>
      </c>
    </row>
    <row r="97" spans="2:21" s="12" customFormat="1" thickBot="1" x14ac:dyDescent="0.35">
      <c r="B97" s="7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3"/>
      <c r="S97" s="110"/>
      <c r="T97" s="100"/>
    </row>
    <row r="98" spans="2:21" s="4" customFormat="1" thickBot="1" x14ac:dyDescent="0.35">
      <c r="B98" s="24" t="s">
        <v>55</v>
      </c>
      <c r="C98" s="123">
        <v>340.65885420000001</v>
      </c>
      <c r="D98" s="123">
        <v>277.40364579999999</v>
      </c>
      <c r="E98" s="123">
        <v>259.20572920000001</v>
      </c>
      <c r="F98" s="123">
        <v>202.00260420000001</v>
      </c>
      <c r="G98" s="123">
        <v>75.381249999999994</v>
      </c>
      <c r="H98" s="123">
        <v>40.186197919999998</v>
      </c>
      <c r="I98" s="123">
        <v>30.301562499999999</v>
      </c>
      <c r="J98" s="123">
        <v>34.500260419999996</v>
      </c>
      <c r="K98" s="123">
        <v>34.303645830000001</v>
      </c>
      <c r="L98" s="123">
        <v>35.037500000000001</v>
      </c>
      <c r="M98" s="123">
        <v>42.868749999999999</v>
      </c>
      <c r="N98" s="123">
        <v>48.903906249999999</v>
      </c>
      <c r="O98" s="123">
        <v>28.677604169999999</v>
      </c>
      <c r="P98" s="123">
        <v>23.118749999999999</v>
      </c>
      <c r="Q98" s="123">
        <v>23.54322917</v>
      </c>
      <c r="R98" s="123">
        <v>36.065624999999997</v>
      </c>
      <c r="S98" s="19"/>
      <c r="T98" s="100" t="s">
        <v>86</v>
      </c>
      <c r="U98" s="126"/>
    </row>
    <row r="99" spans="2:21" ht="14.45" x14ac:dyDescent="0.3">
      <c r="B99" s="47" t="s">
        <v>39</v>
      </c>
      <c r="C99" s="48">
        <f>C98+C96</f>
        <v>340.65885420000001</v>
      </c>
      <c r="D99" s="48">
        <f t="shared" ref="D99:E99" si="44">D98+D96</f>
        <v>277.40364579999999</v>
      </c>
      <c r="E99" s="48">
        <f t="shared" si="44"/>
        <v>259.20572920000001</v>
      </c>
      <c r="F99" s="48">
        <f>F98+F96</f>
        <v>202.00260420000001</v>
      </c>
      <c r="G99" s="48">
        <f t="shared" ref="G99:H99" si="45">G98+G96</f>
        <v>75.381249999999994</v>
      </c>
      <c r="H99" s="48">
        <f t="shared" si="45"/>
        <v>40.186197919999998</v>
      </c>
      <c r="I99" s="48">
        <f>I98+I96</f>
        <v>30.301562499999999</v>
      </c>
      <c r="J99" s="48">
        <f t="shared" ref="J99:N99" si="46">J98+J96</f>
        <v>34.500260419999996</v>
      </c>
      <c r="K99" s="48">
        <f t="shared" si="46"/>
        <v>34.303645830000001</v>
      </c>
      <c r="L99" s="48">
        <f t="shared" si="46"/>
        <v>35.037500000000001</v>
      </c>
      <c r="M99" s="48">
        <f t="shared" si="46"/>
        <v>42.868749999999999</v>
      </c>
      <c r="N99" s="48">
        <f t="shared" si="46"/>
        <v>48.903906249999999</v>
      </c>
      <c r="O99" s="48">
        <f>O98+O96</f>
        <v>28.677604169999999</v>
      </c>
      <c r="P99" s="48">
        <f>P98+P96</f>
        <v>23.118749999999999</v>
      </c>
      <c r="Q99" s="48">
        <f>Q98+Q96</f>
        <v>23.54322917</v>
      </c>
      <c r="R99" s="49">
        <f>R98+R96</f>
        <v>36.065624999999997</v>
      </c>
      <c r="S99" s="111"/>
      <c r="T99" s="100" t="s">
        <v>73</v>
      </c>
    </row>
    <row r="100" spans="2:21" ht="14.45" x14ac:dyDescent="0.3">
      <c r="B100" s="10" t="s">
        <v>8</v>
      </c>
      <c r="C100" s="8">
        <f>$C$16</f>
        <v>150</v>
      </c>
      <c r="D100" s="8">
        <f>$D$16</f>
        <v>150</v>
      </c>
      <c r="E100" s="8">
        <f>$E$16</f>
        <v>150</v>
      </c>
      <c r="F100" s="8">
        <f>$F$16</f>
        <v>150</v>
      </c>
      <c r="G100" s="8">
        <f>$G$16</f>
        <v>150</v>
      </c>
      <c r="H100" s="8">
        <f>$H$16</f>
        <v>100</v>
      </c>
      <c r="I100" s="8">
        <f>$I$16</f>
        <v>65</v>
      </c>
      <c r="J100" s="8">
        <f>$J$16</f>
        <v>65</v>
      </c>
      <c r="K100" s="8">
        <f>$K$16</f>
        <v>65</v>
      </c>
      <c r="L100" s="8">
        <f>$L$16</f>
        <v>65</v>
      </c>
      <c r="M100" s="8">
        <f>$M$16</f>
        <v>65</v>
      </c>
      <c r="N100" s="8">
        <f>$N$16</f>
        <v>65</v>
      </c>
      <c r="O100" s="8">
        <f>$O$16</f>
        <v>65</v>
      </c>
      <c r="P100" s="8">
        <f>$P$16</f>
        <v>65</v>
      </c>
      <c r="Q100" s="8">
        <f>$Q$16</f>
        <v>65</v>
      </c>
      <c r="R100" s="9">
        <f>$R$16</f>
        <v>65</v>
      </c>
      <c r="S100" s="112"/>
      <c r="T100" s="100" t="s">
        <v>74</v>
      </c>
    </row>
    <row r="101" spans="2:21" thickBot="1" x14ac:dyDescent="0.35">
      <c r="B101" s="37" t="s">
        <v>13</v>
      </c>
      <c r="C101" s="38">
        <f>IF(C99&gt;C100,0,(C100-C99)*-1)</f>
        <v>0</v>
      </c>
      <c r="D101" s="38">
        <f t="shared" ref="D101:E101" si="47">IF(D99&gt;D100,0,(D100-D99)*-1)</f>
        <v>0</v>
      </c>
      <c r="E101" s="38">
        <f t="shared" si="47"/>
        <v>0</v>
      </c>
      <c r="F101" s="38">
        <f>IF(F99&gt;F100,0,(F100-F99)*-1)</f>
        <v>0</v>
      </c>
      <c r="G101" s="38">
        <f t="shared" ref="G101:N101" si="48">IF(G99&gt;G100,0,(G100-G99)*-1)</f>
        <v>-74.618750000000006</v>
      </c>
      <c r="H101" s="38">
        <f t="shared" si="48"/>
        <v>-59.813802080000002</v>
      </c>
      <c r="I101" s="38">
        <f t="shared" si="48"/>
        <v>-34.698437499999997</v>
      </c>
      <c r="J101" s="38">
        <f t="shared" si="48"/>
        <v>-30.499739580000004</v>
      </c>
      <c r="K101" s="38">
        <f t="shared" si="48"/>
        <v>-30.696354169999999</v>
      </c>
      <c r="L101" s="38">
        <f t="shared" si="48"/>
        <v>-29.962499999999999</v>
      </c>
      <c r="M101" s="38">
        <f t="shared" si="48"/>
        <v>-22.131250000000001</v>
      </c>
      <c r="N101" s="38">
        <f t="shared" si="48"/>
        <v>-16.096093750000001</v>
      </c>
      <c r="O101" s="38">
        <f>IF(O99&gt;O100,0,(O100-O99)*-1)</f>
        <v>-36.322395830000005</v>
      </c>
      <c r="P101" s="38">
        <f>IF(P99&gt;P100,0,(P100-P99)*-1)</f>
        <v>-41.881250000000001</v>
      </c>
      <c r="Q101" s="38">
        <f>IF(Q99&gt;Q100,0,(Q100-Q99)*-1)</f>
        <v>-41.456770829999996</v>
      </c>
      <c r="R101" s="39">
        <f>IF(R99&gt;R100,0,(R100-R99)*-1)</f>
        <v>-28.934375000000003</v>
      </c>
      <c r="S101" s="105"/>
      <c r="T101" s="100" t="s">
        <v>75</v>
      </c>
    </row>
    <row r="102" spans="2:21" ht="14.45" x14ac:dyDescent="0.3">
      <c r="B102" s="40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105"/>
    </row>
    <row r="103" spans="2:21" ht="14.45" x14ac:dyDescent="0.3">
      <c r="B103" s="35" t="s">
        <v>101</v>
      </c>
      <c r="C103" s="34">
        <f>C119-C98</f>
        <v>140.34114579999999</v>
      </c>
      <c r="D103" s="34">
        <f t="shared" ref="D103:N103" si="49">D119-D98</f>
        <v>87.096354200000007</v>
      </c>
      <c r="E103" s="34">
        <f t="shared" si="49"/>
        <v>112.29427079999999</v>
      </c>
      <c r="F103" s="34">
        <f t="shared" si="49"/>
        <v>13.997395799999993</v>
      </c>
      <c r="G103" s="34">
        <f t="shared" si="49"/>
        <v>40.618750000000006</v>
      </c>
      <c r="H103" s="34">
        <f t="shared" si="49"/>
        <v>29.613802079999999</v>
      </c>
      <c r="I103" s="34">
        <f t="shared" si="49"/>
        <v>8.9984374999999979</v>
      </c>
      <c r="J103" s="34">
        <f t="shared" si="49"/>
        <v>3.6997395800000064</v>
      </c>
      <c r="K103" s="34">
        <f t="shared" si="49"/>
        <v>4.5463541700000007</v>
      </c>
      <c r="L103" s="34">
        <f t="shared" si="49"/>
        <v>7.3624999999999972</v>
      </c>
      <c r="M103" s="34">
        <f t="shared" si="49"/>
        <v>8.03125</v>
      </c>
      <c r="N103" s="34">
        <f t="shared" si="49"/>
        <v>9.0460937500000043</v>
      </c>
      <c r="O103" s="34">
        <f>O119-O98</f>
        <v>16.322395830000001</v>
      </c>
      <c r="P103" s="34">
        <f>P119-P98</f>
        <v>25.581250000000004</v>
      </c>
      <c r="Q103" s="34">
        <f>Q119-Q98</f>
        <v>37.456770829999996</v>
      </c>
      <c r="R103" s="34">
        <f>R119-R98</f>
        <v>56.634375000000006</v>
      </c>
      <c r="S103" s="63"/>
      <c r="T103" s="100" t="s">
        <v>102</v>
      </c>
    </row>
    <row r="104" spans="2:21" s="12" customFormat="1" ht="14.45" x14ac:dyDescent="0.3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102"/>
      <c r="U104" s="13"/>
    </row>
    <row r="105" spans="2:21" thickBot="1" x14ac:dyDescent="0.35">
      <c r="B105" s="64" t="s">
        <v>65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110"/>
    </row>
    <row r="106" spans="2:21" thickBot="1" x14ac:dyDescent="0.35">
      <c r="B106" s="72" t="s">
        <v>5</v>
      </c>
      <c r="C106" s="46">
        <f>C97*-1</f>
        <v>0</v>
      </c>
      <c r="D106" s="46">
        <f t="shared" ref="D106:R106" si="50">D97*-1</f>
        <v>0</v>
      </c>
      <c r="E106" s="46">
        <f t="shared" si="50"/>
        <v>0</v>
      </c>
      <c r="F106" s="46">
        <f t="shared" si="50"/>
        <v>0</v>
      </c>
      <c r="G106" s="46">
        <f t="shared" si="50"/>
        <v>0</v>
      </c>
      <c r="H106" s="46">
        <f t="shared" si="50"/>
        <v>0</v>
      </c>
      <c r="I106" s="46">
        <f t="shared" si="50"/>
        <v>0</v>
      </c>
      <c r="J106" s="46">
        <f t="shared" si="50"/>
        <v>0</v>
      </c>
      <c r="K106" s="46">
        <f t="shared" si="50"/>
        <v>0</v>
      </c>
      <c r="L106" s="46">
        <f t="shared" si="50"/>
        <v>0</v>
      </c>
      <c r="M106" s="46">
        <f>M97*-1</f>
        <v>0</v>
      </c>
      <c r="N106" s="46">
        <f t="shared" si="50"/>
        <v>0</v>
      </c>
      <c r="O106" s="46">
        <f t="shared" si="50"/>
        <v>0</v>
      </c>
      <c r="P106" s="46">
        <f t="shared" si="50"/>
        <v>0</v>
      </c>
      <c r="Q106" s="46">
        <f t="shared" si="50"/>
        <v>0</v>
      </c>
      <c r="R106" s="46">
        <f t="shared" si="50"/>
        <v>0</v>
      </c>
      <c r="S106" s="105"/>
      <c r="T106" s="100" t="s">
        <v>79</v>
      </c>
    </row>
    <row r="107" spans="2:21" ht="14.45" x14ac:dyDescent="0.3">
      <c r="B107" s="79" t="s">
        <v>7</v>
      </c>
      <c r="C107" s="16">
        <f>IF(C121&gt;C120,((C121-C120)*-1),((C120-C121)))</f>
        <v>331</v>
      </c>
      <c r="D107" s="16">
        <f t="shared" ref="D107:E107" si="51">IF(D121&gt;D120,((D121-D120)*-1),((D120-D121)))</f>
        <v>214.5</v>
      </c>
      <c r="E107" s="16">
        <f t="shared" si="51"/>
        <v>221.5</v>
      </c>
      <c r="F107" s="16">
        <f>IF(F121&gt;F120,((F121-F120)*-1),((F120-F121)))</f>
        <v>66</v>
      </c>
      <c r="G107" s="16">
        <f>IF(G121&gt;G120,((G121-G120)*-1),((G120-G121)))</f>
        <v>-34</v>
      </c>
      <c r="H107" s="16">
        <f t="shared" ref="H107:R107" si="52">IF(H121&gt;H120,((H121-H120)*-1),((H120-H121)))</f>
        <v>-30.200000000000003</v>
      </c>
      <c r="I107" s="16">
        <f t="shared" si="52"/>
        <v>-25.700000000000003</v>
      </c>
      <c r="J107" s="16">
        <f t="shared" si="52"/>
        <v>-26.799999999999997</v>
      </c>
      <c r="K107" s="16">
        <f t="shared" si="52"/>
        <v>-26.15</v>
      </c>
      <c r="L107" s="16">
        <f t="shared" si="52"/>
        <v>-22.6</v>
      </c>
      <c r="M107" s="16">
        <f t="shared" si="52"/>
        <v>-14.100000000000001</v>
      </c>
      <c r="N107" s="16">
        <f t="shared" si="52"/>
        <v>-7.0499999999999972</v>
      </c>
      <c r="O107" s="16">
        <f t="shared" si="52"/>
        <v>-20</v>
      </c>
      <c r="P107" s="16">
        <f t="shared" si="52"/>
        <v>-16.299999999999997</v>
      </c>
      <c r="Q107" s="16">
        <f t="shared" si="52"/>
        <v>-4</v>
      </c>
      <c r="R107" s="14">
        <f t="shared" si="52"/>
        <v>27.700000000000003</v>
      </c>
      <c r="S107" s="18"/>
      <c r="T107" s="100" t="s">
        <v>72</v>
      </c>
    </row>
    <row r="108" spans="2:21" thickBot="1" x14ac:dyDescent="0.35">
      <c r="B108" s="80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7"/>
      <c r="S108" s="18"/>
    </row>
    <row r="109" spans="2:21" thickBot="1" x14ac:dyDescent="0.35">
      <c r="B109" s="73" t="s">
        <v>6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121">
        <v>0</v>
      </c>
      <c r="R109" s="46">
        <v>0</v>
      </c>
      <c r="S109" s="105"/>
      <c r="T109" s="100" t="s">
        <v>79</v>
      </c>
    </row>
    <row r="110" spans="2:21" ht="14.45" x14ac:dyDescent="0.3">
      <c r="B110" s="79" t="s">
        <v>7</v>
      </c>
      <c r="C110" s="16">
        <f>IF(C121&gt;C120,((C121-C120)*-1),((C120-C121)))</f>
        <v>331</v>
      </c>
      <c r="D110" s="16">
        <f t="shared" ref="D110:R110" si="53">IF(D121&gt;D120,((D121-D120)*-1),((D120-D121)))</f>
        <v>214.5</v>
      </c>
      <c r="E110" s="16">
        <f t="shared" si="53"/>
        <v>221.5</v>
      </c>
      <c r="F110" s="16">
        <f t="shared" si="53"/>
        <v>66</v>
      </c>
      <c r="G110" s="16">
        <f t="shared" si="53"/>
        <v>-34</v>
      </c>
      <c r="H110" s="16">
        <f t="shared" si="53"/>
        <v>-30.200000000000003</v>
      </c>
      <c r="I110" s="16">
        <f t="shared" si="53"/>
        <v>-25.700000000000003</v>
      </c>
      <c r="J110" s="16">
        <f t="shared" si="53"/>
        <v>-26.799999999999997</v>
      </c>
      <c r="K110" s="16">
        <f t="shared" si="53"/>
        <v>-26.15</v>
      </c>
      <c r="L110" s="16">
        <f t="shared" si="53"/>
        <v>-22.6</v>
      </c>
      <c r="M110" s="16">
        <f t="shared" si="53"/>
        <v>-14.100000000000001</v>
      </c>
      <c r="N110" s="16">
        <f t="shared" si="53"/>
        <v>-7.0499999999999972</v>
      </c>
      <c r="O110" s="16">
        <f t="shared" si="53"/>
        <v>-20</v>
      </c>
      <c r="P110" s="16">
        <f t="shared" si="53"/>
        <v>-16.299999999999997</v>
      </c>
      <c r="Q110" s="16">
        <f t="shared" si="53"/>
        <v>-4</v>
      </c>
      <c r="R110" s="14">
        <f t="shared" si="53"/>
        <v>27.700000000000003</v>
      </c>
      <c r="S110" s="18"/>
      <c r="T110" s="100" t="s">
        <v>72</v>
      </c>
    </row>
    <row r="111" spans="2:21" s="4" customFormat="1" thickBot="1" x14ac:dyDescent="0.35">
      <c r="B111" s="80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7"/>
      <c r="S111" s="18"/>
      <c r="T111" s="100"/>
      <c r="U111" s="126"/>
    </row>
    <row r="112" spans="2:21" thickBot="1" x14ac:dyDescent="0.35">
      <c r="B112" s="73" t="s">
        <v>60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121">
        <v>0</v>
      </c>
      <c r="R112" s="46">
        <v>0</v>
      </c>
      <c r="S112" s="105"/>
      <c r="T112" s="100" t="s">
        <v>79</v>
      </c>
    </row>
    <row r="113" spans="2:21" ht="14.45" x14ac:dyDescent="0.3">
      <c r="B113" s="79" t="s">
        <v>7</v>
      </c>
      <c r="C113" s="16">
        <f>IF(C121&gt;C120,((C121-C120)*-1),((C120-C121)))</f>
        <v>331</v>
      </c>
      <c r="D113" s="16">
        <f t="shared" ref="D113" si="54">IF(D121&gt;D120,((D121-D120)*-1),((D120-D121)))</f>
        <v>214.5</v>
      </c>
      <c r="E113" s="16">
        <f>IF(E121&gt;E120,((E121-E120)*-1),((E120-E121)))</f>
        <v>221.5</v>
      </c>
      <c r="F113" s="16">
        <f t="shared" ref="F113:R113" si="55">IF(F121&gt;F120,((F121-F120)*-1),((F120-F121)))</f>
        <v>66</v>
      </c>
      <c r="G113" s="16">
        <f t="shared" si="55"/>
        <v>-34</v>
      </c>
      <c r="H113" s="16">
        <f t="shared" si="55"/>
        <v>-30.200000000000003</v>
      </c>
      <c r="I113" s="16">
        <f t="shared" si="55"/>
        <v>-25.700000000000003</v>
      </c>
      <c r="J113" s="16">
        <f t="shared" si="55"/>
        <v>-26.799999999999997</v>
      </c>
      <c r="K113" s="16">
        <f t="shared" si="55"/>
        <v>-26.15</v>
      </c>
      <c r="L113" s="16">
        <f t="shared" si="55"/>
        <v>-22.6</v>
      </c>
      <c r="M113" s="16">
        <f t="shared" si="55"/>
        <v>-14.100000000000001</v>
      </c>
      <c r="N113" s="16">
        <f t="shared" si="55"/>
        <v>-7.0499999999999972</v>
      </c>
      <c r="O113" s="16">
        <f t="shared" si="55"/>
        <v>-20</v>
      </c>
      <c r="P113" s="16">
        <f t="shared" si="55"/>
        <v>-16.299999999999997</v>
      </c>
      <c r="Q113" s="16">
        <f t="shared" si="55"/>
        <v>-4</v>
      </c>
      <c r="R113" s="14">
        <f t="shared" si="55"/>
        <v>27.700000000000003</v>
      </c>
      <c r="S113" s="18"/>
      <c r="T113" s="100" t="s">
        <v>72</v>
      </c>
    </row>
    <row r="114" spans="2:21" s="11" customFormat="1" ht="14.45" x14ac:dyDescent="0.3">
      <c r="B114" s="81" t="s">
        <v>24</v>
      </c>
      <c r="C114" s="18">
        <f t="shared" ref="C114:N114" si="56">SUM(C106+C109+C112)</f>
        <v>0</v>
      </c>
      <c r="D114" s="18">
        <f t="shared" si="56"/>
        <v>0</v>
      </c>
      <c r="E114" s="18">
        <f t="shared" si="56"/>
        <v>0</v>
      </c>
      <c r="F114" s="18">
        <f t="shared" si="56"/>
        <v>0</v>
      </c>
      <c r="G114" s="18">
        <f t="shared" si="56"/>
        <v>0</v>
      </c>
      <c r="H114" s="18">
        <f t="shared" si="56"/>
        <v>0</v>
      </c>
      <c r="I114" s="18">
        <f t="shared" si="56"/>
        <v>0</v>
      </c>
      <c r="J114" s="18">
        <f t="shared" si="56"/>
        <v>0</v>
      </c>
      <c r="K114" s="18">
        <f t="shared" si="56"/>
        <v>0</v>
      </c>
      <c r="L114" s="18">
        <f t="shared" si="56"/>
        <v>0</v>
      </c>
      <c r="M114" s="18">
        <f t="shared" si="56"/>
        <v>0</v>
      </c>
      <c r="N114" s="18">
        <f t="shared" si="56"/>
        <v>0</v>
      </c>
      <c r="O114" s="18">
        <f>SUM(O106+O109+O112)</f>
        <v>0</v>
      </c>
      <c r="P114" s="18">
        <f>SUM(P106+P109+P112)</f>
        <v>0</v>
      </c>
      <c r="Q114" s="18">
        <f>SUM(Q106+Q109+Q112)</f>
        <v>0</v>
      </c>
      <c r="R114" s="17">
        <f>SUM(R106+R109+R112)</f>
        <v>0</v>
      </c>
      <c r="S114" s="18"/>
      <c r="T114" s="100" t="s">
        <v>95</v>
      </c>
      <c r="U114" s="8"/>
    </row>
    <row r="115" spans="2:21" thickBot="1" x14ac:dyDescent="0.35">
      <c r="B115" s="80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7"/>
      <c r="S115" s="18"/>
    </row>
    <row r="116" spans="2:21" s="64" customFormat="1" thickBot="1" x14ac:dyDescent="0.35">
      <c r="B116" s="70" t="s">
        <v>69</v>
      </c>
      <c r="C116" s="82">
        <v>2.5000000000000001E-2</v>
      </c>
      <c r="D116" s="82">
        <v>2.5000000000000001E-2</v>
      </c>
      <c r="E116" s="82">
        <v>2.5000000000000001E-2</v>
      </c>
      <c r="F116" s="82">
        <v>2.5000000000000001E-2</v>
      </c>
      <c r="G116" s="82">
        <v>2.5000000000000001E-2</v>
      </c>
      <c r="H116" s="82">
        <v>2.5000000000000001E-2</v>
      </c>
      <c r="I116" s="82">
        <v>3.5999999999999997E-2</v>
      </c>
      <c r="J116" s="82">
        <v>3.5999999999999997E-2</v>
      </c>
      <c r="K116" s="69">
        <v>-6.0999999999999999E-2</v>
      </c>
      <c r="L116" s="69">
        <v>-6.0999999999999999E-2</v>
      </c>
      <c r="M116" s="69">
        <v>-8.9999999999999993E-3</v>
      </c>
      <c r="N116" s="69">
        <v>-8.9999999999999993E-3</v>
      </c>
      <c r="O116" s="82">
        <v>0.15</v>
      </c>
      <c r="P116" s="82">
        <v>0.15</v>
      </c>
      <c r="Q116" s="69">
        <v>-0.11799999999999999</v>
      </c>
      <c r="R116" s="69">
        <v>-0.11799999999999999</v>
      </c>
      <c r="S116" s="106"/>
      <c r="T116" s="103" t="s">
        <v>134</v>
      </c>
      <c r="U116" s="83"/>
    </row>
    <row r="117" spans="2:21" s="26" customFormat="1" ht="14.45" x14ac:dyDescent="0.3">
      <c r="B117" s="84" t="s">
        <v>20</v>
      </c>
      <c r="C117" s="57">
        <f>SUM(C114+C96)*(1+C116)</f>
        <v>0</v>
      </c>
      <c r="D117" s="57">
        <f t="shared" ref="D117:N117" si="57">SUM(D114+D96)*(1+D116)</f>
        <v>0</v>
      </c>
      <c r="E117" s="57">
        <f t="shared" si="57"/>
        <v>0</v>
      </c>
      <c r="F117" s="57">
        <f t="shared" si="57"/>
        <v>0</v>
      </c>
      <c r="G117" s="57">
        <f t="shared" si="57"/>
        <v>0</v>
      </c>
      <c r="H117" s="57">
        <f t="shared" si="57"/>
        <v>0</v>
      </c>
      <c r="I117" s="57">
        <f t="shared" si="57"/>
        <v>0</v>
      </c>
      <c r="J117" s="57">
        <f t="shared" si="57"/>
        <v>0</v>
      </c>
      <c r="K117" s="57">
        <f t="shared" si="57"/>
        <v>0</v>
      </c>
      <c r="L117" s="57">
        <f t="shared" si="57"/>
        <v>0</v>
      </c>
      <c r="M117" s="57">
        <f t="shared" si="57"/>
        <v>0</v>
      </c>
      <c r="N117" s="57">
        <f t="shared" si="57"/>
        <v>0</v>
      </c>
      <c r="O117" s="57">
        <f>SUM(O114+O96)*(1+O116)</f>
        <v>0</v>
      </c>
      <c r="P117" s="122">
        <f>SUM(P114+P96)*(1+P116)</f>
        <v>0</v>
      </c>
      <c r="Q117" s="57">
        <f>SUM(Q114+Q96)*(1+Q116)</f>
        <v>0</v>
      </c>
      <c r="R117" s="68">
        <f>SUM(R114+R96)*(1+R116)</f>
        <v>0</v>
      </c>
      <c r="S117" s="110"/>
      <c r="T117" s="100" t="s">
        <v>99</v>
      </c>
      <c r="U117" s="25"/>
    </row>
    <row r="118" spans="2:21" thickBot="1" x14ac:dyDescent="0.35">
      <c r="B118" s="7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3"/>
      <c r="S118" s="110"/>
    </row>
    <row r="119" spans="2:21" ht="16.149999999999999" thickBot="1" x14ac:dyDescent="0.35">
      <c r="B119" s="41" t="s">
        <v>56</v>
      </c>
      <c r="C119" s="123">
        <v>481</v>
      </c>
      <c r="D119" s="123">
        <v>364.5</v>
      </c>
      <c r="E119" s="123">
        <v>371.5</v>
      </c>
      <c r="F119" s="123">
        <v>216</v>
      </c>
      <c r="G119" s="123">
        <v>116</v>
      </c>
      <c r="H119" s="123">
        <v>69.8</v>
      </c>
      <c r="I119" s="123">
        <v>39.299999999999997</v>
      </c>
      <c r="J119" s="123">
        <v>38.200000000000003</v>
      </c>
      <c r="K119" s="123">
        <v>38.85</v>
      </c>
      <c r="L119" s="123">
        <v>42.4</v>
      </c>
      <c r="M119" s="123">
        <v>50.9</v>
      </c>
      <c r="N119" s="123">
        <v>57.95</v>
      </c>
      <c r="O119" s="123">
        <v>45</v>
      </c>
      <c r="P119" s="123">
        <v>48.7</v>
      </c>
      <c r="Q119" s="123">
        <v>61</v>
      </c>
      <c r="R119" s="123">
        <v>92.7</v>
      </c>
      <c r="S119" s="109"/>
      <c r="T119" s="100" t="s">
        <v>89</v>
      </c>
    </row>
    <row r="120" spans="2:21" ht="14.45" x14ac:dyDescent="0.3">
      <c r="B120" s="47" t="s">
        <v>40</v>
      </c>
      <c r="C120" s="48">
        <f>C119+C117</f>
        <v>481</v>
      </c>
      <c r="D120" s="48">
        <f t="shared" ref="D120:E120" si="58">D119+D117</f>
        <v>364.5</v>
      </c>
      <c r="E120" s="48">
        <f t="shared" si="58"/>
        <v>371.5</v>
      </c>
      <c r="F120" s="48">
        <f>F119+F117</f>
        <v>216</v>
      </c>
      <c r="G120" s="48">
        <f t="shared" ref="G120:H120" si="59">G119+G117</f>
        <v>116</v>
      </c>
      <c r="H120" s="48">
        <f t="shared" si="59"/>
        <v>69.8</v>
      </c>
      <c r="I120" s="48">
        <f>I119+I117</f>
        <v>39.299999999999997</v>
      </c>
      <c r="J120" s="48">
        <f t="shared" ref="J120:N120" si="60">J119+J117</f>
        <v>38.200000000000003</v>
      </c>
      <c r="K120" s="48">
        <f t="shared" si="60"/>
        <v>38.85</v>
      </c>
      <c r="L120" s="48">
        <f t="shared" si="60"/>
        <v>42.4</v>
      </c>
      <c r="M120" s="48">
        <f t="shared" si="60"/>
        <v>50.9</v>
      </c>
      <c r="N120" s="48">
        <f t="shared" si="60"/>
        <v>57.95</v>
      </c>
      <c r="O120" s="48">
        <f>O119+O117</f>
        <v>45</v>
      </c>
      <c r="P120" s="48">
        <f>P119+P117</f>
        <v>48.7</v>
      </c>
      <c r="Q120" s="48">
        <f>Q119+Q117</f>
        <v>61</v>
      </c>
      <c r="R120" s="49">
        <f>R119+R117</f>
        <v>92.7</v>
      </c>
      <c r="S120" s="111"/>
      <c r="T120" s="100" t="s">
        <v>73</v>
      </c>
    </row>
    <row r="121" spans="2:21" ht="14.45" x14ac:dyDescent="0.3">
      <c r="B121" s="10" t="s">
        <v>8</v>
      </c>
      <c r="C121" s="8">
        <f>$C$16</f>
        <v>150</v>
      </c>
      <c r="D121" s="8">
        <f>$D$16</f>
        <v>150</v>
      </c>
      <c r="E121" s="8">
        <f>$E$16</f>
        <v>150</v>
      </c>
      <c r="F121" s="8">
        <f>$F$16</f>
        <v>150</v>
      </c>
      <c r="G121" s="8">
        <f>$G$16</f>
        <v>150</v>
      </c>
      <c r="H121" s="8">
        <f>$H$16</f>
        <v>100</v>
      </c>
      <c r="I121" s="8">
        <f>$I$16</f>
        <v>65</v>
      </c>
      <c r="J121" s="8">
        <f>$J$16</f>
        <v>65</v>
      </c>
      <c r="K121" s="8">
        <f>$K$16</f>
        <v>65</v>
      </c>
      <c r="L121" s="8">
        <f>$L$16</f>
        <v>65</v>
      </c>
      <c r="M121" s="8">
        <f>$M$16</f>
        <v>65</v>
      </c>
      <c r="N121" s="8">
        <f>$N$16</f>
        <v>65</v>
      </c>
      <c r="O121" s="8">
        <f>$O$16</f>
        <v>65</v>
      </c>
      <c r="P121" s="8">
        <f>$P$16</f>
        <v>65</v>
      </c>
      <c r="Q121" s="8">
        <f>$Q$16</f>
        <v>65</v>
      </c>
      <c r="R121" s="9">
        <f>$R$16</f>
        <v>65</v>
      </c>
      <c r="S121" s="112"/>
      <c r="T121" s="100" t="s">
        <v>74</v>
      </c>
    </row>
    <row r="122" spans="2:21" thickBot="1" x14ac:dyDescent="0.35">
      <c r="B122" s="37" t="s">
        <v>14</v>
      </c>
      <c r="C122" s="38">
        <f>IF(C120&gt;C121,0,(C121-C120)*-1)</f>
        <v>0</v>
      </c>
      <c r="D122" s="38">
        <f t="shared" ref="D122:E122" si="61">IF(D120&gt;D121,0,(D121-D120)*-1)</f>
        <v>0</v>
      </c>
      <c r="E122" s="38">
        <f t="shared" si="61"/>
        <v>0</v>
      </c>
      <c r="F122" s="38">
        <f>IF(F120&gt;F121,0,(F121-F120)*-1)</f>
        <v>0</v>
      </c>
      <c r="G122" s="38">
        <f t="shared" ref="G122:N122" si="62">IF(G120&gt;G121,0,(G121-G120)*-1)</f>
        <v>-34</v>
      </c>
      <c r="H122" s="38">
        <f>IF(H120&gt;H121,0,(H121-H120)*-1)</f>
        <v>-30.200000000000003</v>
      </c>
      <c r="I122" s="38">
        <f t="shared" si="62"/>
        <v>-25.700000000000003</v>
      </c>
      <c r="J122" s="38">
        <f t="shared" si="62"/>
        <v>-26.799999999999997</v>
      </c>
      <c r="K122" s="38">
        <f t="shared" si="62"/>
        <v>-26.15</v>
      </c>
      <c r="L122" s="38">
        <f t="shared" si="62"/>
        <v>-22.6</v>
      </c>
      <c r="M122" s="38">
        <f t="shared" si="62"/>
        <v>-14.100000000000001</v>
      </c>
      <c r="N122" s="38">
        <f t="shared" si="62"/>
        <v>-7.0499999999999972</v>
      </c>
      <c r="O122" s="38">
        <f>IF(O120&gt;O121,0,(O121-O120)*-1)</f>
        <v>-20</v>
      </c>
      <c r="P122" s="38">
        <f>IF(P120&gt;P121,0,(P121-P120)*-1)</f>
        <v>-16.299999999999997</v>
      </c>
      <c r="Q122" s="38">
        <f>IF(Q120&gt;Q121,0,(Q121-Q120)*-1)</f>
        <v>-4</v>
      </c>
      <c r="R122" s="39">
        <f>IF(R120&gt;R121,0,(R121-R120)*-1)</f>
        <v>0</v>
      </c>
      <c r="S122" s="105"/>
      <c r="T122" s="100" t="s">
        <v>75</v>
      </c>
    </row>
    <row r="123" spans="2:21" ht="14.45" x14ac:dyDescent="0.3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115"/>
    </row>
    <row r="124" spans="2:21" ht="14.45" x14ac:dyDescent="0.3">
      <c r="B124" s="86" t="s">
        <v>18</v>
      </c>
      <c r="C124" s="99">
        <v>30</v>
      </c>
      <c r="D124" s="99">
        <v>30</v>
      </c>
      <c r="E124" s="99">
        <v>30</v>
      </c>
      <c r="F124" s="99">
        <v>30</v>
      </c>
      <c r="G124" s="99">
        <v>30</v>
      </c>
      <c r="H124" s="99">
        <v>30</v>
      </c>
      <c r="I124" s="99">
        <v>18</v>
      </c>
      <c r="J124" s="99">
        <v>22</v>
      </c>
      <c r="K124" s="99">
        <v>22</v>
      </c>
      <c r="L124" s="99">
        <v>22</v>
      </c>
      <c r="M124" s="99">
        <v>25</v>
      </c>
      <c r="N124" s="99">
        <v>25</v>
      </c>
      <c r="O124" s="99">
        <v>0</v>
      </c>
      <c r="P124" s="99">
        <v>0</v>
      </c>
      <c r="Q124" s="99">
        <v>30</v>
      </c>
      <c r="R124" s="99">
        <v>30</v>
      </c>
      <c r="S124" s="116"/>
    </row>
    <row r="125" spans="2:21" ht="14.45" x14ac:dyDescent="0.3">
      <c r="B125" s="86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117"/>
    </row>
    <row r="126" spans="2:21" thickBot="1" x14ac:dyDescent="0.35">
      <c r="B126" s="65" t="s">
        <v>66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2:21" thickBot="1" x14ac:dyDescent="0.35">
      <c r="B127" s="72" t="s">
        <v>5</v>
      </c>
      <c r="C127" s="46">
        <v>0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121">
        <v>0</v>
      </c>
      <c r="R127" s="46">
        <v>0</v>
      </c>
      <c r="S127" s="105"/>
      <c r="T127" s="100" t="s">
        <v>80</v>
      </c>
    </row>
    <row r="128" spans="2:21" ht="14.45" x14ac:dyDescent="0.3">
      <c r="B128" s="79" t="s">
        <v>7</v>
      </c>
      <c r="C128" s="16">
        <f>IF(C142&gt;C141,((C142-C141)*-1),((C141-C142)))</f>
        <v>158.56458739999999</v>
      </c>
      <c r="D128" s="16">
        <f t="shared" ref="D128:E128" si="63">IF(D142&gt;D141,((D142-D141)*-1),((D141-D142)))</f>
        <v>38.865621000000004</v>
      </c>
      <c r="E128" s="16">
        <f t="shared" si="63"/>
        <v>11.087229799999989</v>
      </c>
      <c r="F128" s="16">
        <f>IF(F142&gt;F141,((F142-F141)*-1),((F141-F142)))</f>
        <v>-90.121478870000004</v>
      </c>
      <c r="G128" s="16">
        <f>IF(G142&gt;G141,((G142-G141)*-1),((G141-G142)))</f>
        <v>-142.03035807000001</v>
      </c>
      <c r="H128" s="16">
        <f t="shared" ref="H128:R128" si="64">IF(H142&gt;H141,((H142-H141)*-1),((H141-H142)))</f>
        <v>-92.605251788000004</v>
      </c>
      <c r="I128" s="16">
        <f t="shared" si="64"/>
        <v>-53.554331959999999</v>
      </c>
      <c r="J128" s="16">
        <f t="shared" si="64"/>
        <v>-54.186736769999996</v>
      </c>
      <c r="K128" s="16">
        <f t="shared" si="64"/>
        <v>-54.110752910000002</v>
      </c>
      <c r="L128" s="16">
        <f t="shared" si="64"/>
        <v>-54.402934420000001</v>
      </c>
      <c r="M128" s="16">
        <f t="shared" si="64"/>
        <v>-41.756615029999999</v>
      </c>
      <c r="N128" s="16">
        <f t="shared" si="64"/>
        <v>-41.534143729999997</v>
      </c>
      <c r="O128" s="16">
        <f t="shared" si="64"/>
        <v>-46.377626890000002</v>
      </c>
      <c r="P128" s="16">
        <f t="shared" si="64"/>
        <v>-47.402459530000002</v>
      </c>
      <c r="Q128" s="16">
        <f t="shared" si="64"/>
        <v>-34.728666740000001</v>
      </c>
      <c r="R128" s="14">
        <f t="shared" si="64"/>
        <v>-4.7467429399999972</v>
      </c>
      <c r="S128" s="18"/>
      <c r="T128" s="100" t="s">
        <v>72</v>
      </c>
    </row>
    <row r="129" spans="2:21" thickBot="1" x14ac:dyDescent="0.35">
      <c r="B129" s="80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7"/>
      <c r="S129" s="18"/>
    </row>
    <row r="130" spans="2:21" thickBot="1" x14ac:dyDescent="0.35">
      <c r="B130" s="73" t="s">
        <v>6</v>
      </c>
      <c r="C130" s="46">
        <v>0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121">
        <v>0</v>
      </c>
      <c r="R130" s="46">
        <v>0</v>
      </c>
      <c r="S130" s="105"/>
      <c r="T130" s="100" t="s">
        <v>80</v>
      </c>
    </row>
    <row r="131" spans="2:21" ht="14.45" x14ac:dyDescent="0.3">
      <c r="B131" s="79" t="s">
        <v>7</v>
      </c>
      <c r="C131" s="16">
        <f>IF(C142&gt;C141,((C142-C141)*-1),((C141-C142)))</f>
        <v>158.56458739999999</v>
      </c>
      <c r="D131" s="16">
        <f t="shared" ref="D131:R131" si="65">IF(D142&gt;D141,((D142-D141)*-1),((D141-D142)))</f>
        <v>38.865621000000004</v>
      </c>
      <c r="E131" s="16">
        <f t="shared" si="65"/>
        <v>11.087229799999989</v>
      </c>
      <c r="F131" s="16">
        <f t="shared" si="65"/>
        <v>-90.121478870000004</v>
      </c>
      <c r="G131" s="16">
        <f t="shared" si="65"/>
        <v>-142.03035807000001</v>
      </c>
      <c r="H131" s="16">
        <f t="shared" si="65"/>
        <v>-92.605251788000004</v>
      </c>
      <c r="I131" s="16">
        <f t="shared" si="65"/>
        <v>-53.554331959999999</v>
      </c>
      <c r="J131" s="16">
        <f t="shared" si="65"/>
        <v>-54.186736769999996</v>
      </c>
      <c r="K131" s="16">
        <f t="shared" si="65"/>
        <v>-54.110752910000002</v>
      </c>
      <c r="L131" s="16">
        <f t="shared" si="65"/>
        <v>-54.402934420000001</v>
      </c>
      <c r="M131" s="16">
        <f t="shared" si="65"/>
        <v>-41.756615029999999</v>
      </c>
      <c r="N131" s="16">
        <f t="shared" si="65"/>
        <v>-41.534143729999997</v>
      </c>
      <c r="O131" s="16">
        <f t="shared" si="65"/>
        <v>-46.377626890000002</v>
      </c>
      <c r="P131" s="16">
        <f t="shared" si="65"/>
        <v>-47.402459530000002</v>
      </c>
      <c r="Q131" s="16">
        <f t="shared" si="65"/>
        <v>-34.728666740000001</v>
      </c>
      <c r="R131" s="14">
        <f t="shared" si="65"/>
        <v>-4.7467429399999972</v>
      </c>
      <c r="S131" s="18"/>
      <c r="T131" s="100" t="s">
        <v>72</v>
      </c>
    </row>
    <row r="132" spans="2:21" s="4" customFormat="1" thickBot="1" x14ac:dyDescent="0.35">
      <c r="B132" s="80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7"/>
      <c r="S132" s="18"/>
      <c r="T132" s="100"/>
      <c r="U132" s="126"/>
    </row>
    <row r="133" spans="2:21" thickBot="1" x14ac:dyDescent="0.35">
      <c r="B133" s="73" t="s">
        <v>60</v>
      </c>
      <c r="C133" s="46">
        <v>0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121">
        <v>0</v>
      </c>
      <c r="R133" s="46">
        <v>0</v>
      </c>
      <c r="S133" s="105"/>
      <c r="T133" s="100" t="s">
        <v>80</v>
      </c>
    </row>
    <row r="134" spans="2:21" ht="14.45" x14ac:dyDescent="0.3">
      <c r="B134" s="79" t="s">
        <v>7</v>
      </c>
      <c r="C134" s="16">
        <f>IF(C142&gt;C141,((C142-C141)*-1),((C141-C142)))</f>
        <v>158.56458739999999</v>
      </c>
      <c r="D134" s="16">
        <f t="shared" ref="D134:R134" si="66">IF(D142&gt;D141,((D142-D141)*-1),((D141-D142)))</f>
        <v>38.865621000000004</v>
      </c>
      <c r="E134" s="16">
        <f>IF(E142&gt;E141,((E142-E141)*-1),((E141-E142)))</f>
        <v>11.087229799999989</v>
      </c>
      <c r="F134" s="16">
        <f t="shared" si="66"/>
        <v>-90.121478870000004</v>
      </c>
      <c r="G134" s="16">
        <f t="shared" si="66"/>
        <v>-142.03035807000001</v>
      </c>
      <c r="H134" s="16">
        <f t="shared" si="66"/>
        <v>-92.605251788000004</v>
      </c>
      <c r="I134" s="16">
        <f t="shared" si="66"/>
        <v>-53.554331959999999</v>
      </c>
      <c r="J134" s="16">
        <f t="shared" si="66"/>
        <v>-54.186736769999996</v>
      </c>
      <c r="K134" s="16">
        <f t="shared" si="66"/>
        <v>-54.110752910000002</v>
      </c>
      <c r="L134" s="16">
        <f t="shared" si="66"/>
        <v>-54.402934420000001</v>
      </c>
      <c r="M134" s="16">
        <f t="shared" si="66"/>
        <v>-41.756615029999999</v>
      </c>
      <c r="N134" s="16">
        <f t="shared" si="66"/>
        <v>-41.534143729999997</v>
      </c>
      <c r="O134" s="16">
        <f t="shared" si="66"/>
        <v>-46.377626890000002</v>
      </c>
      <c r="P134" s="16">
        <f t="shared" si="66"/>
        <v>-47.402459530000002</v>
      </c>
      <c r="Q134" s="16">
        <f t="shared" si="66"/>
        <v>-34.728666740000001</v>
      </c>
      <c r="R134" s="14">
        <f t="shared" si="66"/>
        <v>-4.7467429399999972</v>
      </c>
      <c r="S134" s="18"/>
      <c r="T134" s="100" t="s">
        <v>72</v>
      </c>
    </row>
    <row r="135" spans="2:21" s="32" customFormat="1" ht="14.45" x14ac:dyDescent="0.3">
      <c r="B135" s="81" t="s">
        <v>25</v>
      </c>
      <c r="C135" s="18">
        <f t="shared" ref="C135:N135" si="67">SUM(C127+C130+C133)</f>
        <v>0</v>
      </c>
      <c r="D135" s="18">
        <f t="shared" si="67"/>
        <v>0</v>
      </c>
      <c r="E135" s="18">
        <f t="shared" si="67"/>
        <v>0</v>
      </c>
      <c r="F135" s="18">
        <f t="shared" si="67"/>
        <v>0</v>
      </c>
      <c r="G135" s="18">
        <f t="shared" si="67"/>
        <v>0</v>
      </c>
      <c r="H135" s="18">
        <f t="shared" si="67"/>
        <v>0</v>
      </c>
      <c r="I135" s="18">
        <f t="shared" si="67"/>
        <v>0</v>
      </c>
      <c r="J135" s="18">
        <f t="shared" si="67"/>
        <v>0</v>
      </c>
      <c r="K135" s="18">
        <f t="shared" si="67"/>
        <v>0</v>
      </c>
      <c r="L135" s="18">
        <f t="shared" si="67"/>
        <v>0</v>
      </c>
      <c r="M135" s="18">
        <f t="shared" si="67"/>
        <v>0</v>
      </c>
      <c r="N135" s="18">
        <f t="shared" si="67"/>
        <v>0</v>
      </c>
      <c r="O135" s="18">
        <f>SUM(O127+O130+O133)</f>
        <v>0</v>
      </c>
      <c r="P135" s="18">
        <f>SUM(P127+P130+P133)</f>
        <v>0</v>
      </c>
      <c r="Q135" s="18">
        <f>SUM(Q127+Q130+Q133)</f>
        <v>0</v>
      </c>
      <c r="R135" s="17">
        <f>SUM(R127+R130+R133)</f>
        <v>0</v>
      </c>
      <c r="S135" s="18"/>
      <c r="T135" s="100" t="s">
        <v>96</v>
      </c>
      <c r="U135" s="31"/>
    </row>
    <row r="136" spans="2:21" s="26" customFormat="1" ht="15.75" thickBot="1" x14ac:dyDescent="0.3">
      <c r="B136" s="80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7"/>
      <c r="S136" s="18"/>
      <c r="T136" s="100"/>
      <c r="U136" s="25"/>
    </row>
    <row r="137" spans="2:21" s="64" customFormat="1" ht="15.75" thickBot="1" x14ac:dyDescent="0.3">
      <c r="B137" s="70" t="s">
        <v>69</v>
      </c>
      <c r="C137" s="69">
        <v>-2.5999999999999999E-2</v>
      </c>
      <c r="D137" s="69">
        <v>-2.5999999999999999E-2</v>
      </c>
      <c r="E137" s="69">
        <v>-2.5999999999999999E-2</v>
      </c>
      <c r="F137" s="69">
        <v>-2.5999999999999999E-2</v>
      </c>
      <c r="G137" s="69">
        <v>-2.5999999999999999E-2</v>
      </c>
      <c r="H137" s="69">
        <v>-2.5999999999999999E-2</v>
      </c>
      <c r="I137" s="69">
        <v>-2.5999999999999999E-2</v>
      </c>
      <c r="J137" s="69">
        <v>-2.5999999999999999E-2</v>
      </c>
      <c r="K137" s="69">
        <v>-6.9000000000000006E-2</v>
      </c>
      <c r="L137" s="69">
        <v>-6.9000000000000006E-2</v>
      </c>
      <c r="M137" s="69">
        <v>-6.9000000000000006E-2</v>
      </c>
      <c r="N137" s="69">
        <v>-6.9000000000000006E-2</v>
      </c>
      <c r="O137" s="69">
        <v>-6.9000000000000006E-2</v>
      </c>
      <c r="P137" s="69">
        <v>-6.9000000000000006E-2</v>
      </c>
      <c r="Q137" s="69">
        <v>-6.9000000000000006E-2</v>
      </c>
      <c r="R137" s="69">
        <v>-6.9000000000000006E-2</v>
      </c>
      <c r="S137" s="107"/>
      <c r="T137" s="103" t="s">
        <v>136</v>
      </c>
      <c r="U137" s="83"/>
    </row>
    <row r="138" spans="2:21" s="26" customFormat="1" x14ac:dyDescent="0.25">
      <c r="B138" s="84" t="s">
        <v>20</v>
      </c>
      <c r="C138" s="57">
        <f>SUM(C135+C117)*(1+C137)</f>
        <v>0</v>
      </c>
      <c r="D138" s="57">
        <f t="shared" ref="D138:N138" si="68">SUM(D135+D117)*(1+D137)</f>
        <v>0</v>
      </c>
      <c r="E138" s="57">
        <f t="shared" si="68"/>
        <v>0</v>
      </c>
      <c r="F138" s="57">
        <f t="shared" si="68"/>
        <v>0</v>
      </c>
      <c r="G138" s="57">
        <f t="shared" si="68"/>
        <v>0</v>
      </c>
      <c r="H138" s="57">
        <f t="shared" si="68"/>
        <v>0</v>
      </c>
      <c r="I138" s="57">
        <f t="shared" si="68"/>
        <v>0</v>
      </c>
      <c r="J138" s="57">
        <f t="shared" si="68"/>
        <v>0</v>
      </c>
      <c r="K138" s="57">
        <f t="shared" si="68"/>
        <v>0</v>
      </c>
      <c r="L138" s="57">
        <f t="shared" si="68"/>
        <v>0</v>
      </c>
      <c r="M138" s="57">
        <f t="shared" si="68"/>
        <v>0</v>
      </c>
      <c r="N138" s="57">
        <f t="shared" si="68"/>
        <v>0</v>
      </c>
      <c r="O138" s="57">
        <f>SUM(O135+O117)*(1+O137)</f>
        <v>0</v>
      </c>
      <c r="P138" s="122">
        <f>SUM(P135+P117)*(1+P137)</f>
        <v>0</v>
      </c>
      <c r="Q138" s="57">
        <f>SUM(Q135+Q117)*(1+Q137)</f>
        <v>0</v>
      </c>
      <c r="R138" s="68">
        <f>SUM(R135+R117)*(1+R137)</f>
        <v>0</v>
      </c>
      <c r="S138" s="110"/>
      <c r="T138" s="100" t="s">
        <v>99</v>
      </c>
      <c r="U138" s="25"/>
    </row>
    <row r="139" spans="2:21" ht="15.75" thickBot="1" x14ac:dyDescent="0.3">
      <c r="B139" s="71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3"/>
      <c r="S139" s="110"/>
    </row>
    <row r="140" spans="2:21" ht="15.75" thickBot="1" x14ac:dyDescent="0.3">
      <c r="B140" s="42" t="s">
        <v>57</v>
      </c>
      <c r="C140" s="124">
        <v>308.56458739999999</v>
      </c>
      <c r="D140" s="124">
        <v>188.865621</v>
      </c>
      <c r="E140" s="124">
        <v>161.08722979999999</v>
      </c>
      <c r="F140" s="124">
        <v>59.878521130000003</v>
      </c>
      <c r="G140" s="124">
        <v>7.9696419299999999</v>
      </c>
      <c r="H140" s="124">
        <v>7.3947482119999997</v>
      </c>
      <c r="I140" s="124">
        <v>11.445668039999999</v>
      </c>
      <c r="J140" s="124">
        <v>10.81326323</v>
      </c>
      <c r="K140" s="124">
        <v>10.88924709</v>
      </c>
      <c r="L140" s="124">
        <v>10.597065580000001</v>
      </c>
      <c r="M140" s="124">
        <v>23.243384970000001</v>
      </c>
      <c r="N140" s="124">
        <v>23.46585627</v>
      </c>
      <c r="O140" s="124">
        <v>18.622373110000002</v>
      </c>
      <c r="P140" s="124">
        <v>17.597540469999998</v>
      </c>
      <c r="Q140" s="124">
        <v>30.271333259999999</v>
      </c>
      <c r="R140" s="124">
        <v>60.253257060000003</v>
      </c>
      <c r="S140" s="19"/>
      <c r="T140" s="100" t="s">
        <v>85</v>
      </c>
    </row>
    <row r="141" spans="2:21" x14ac:dyDescent="0.25">
      <c r="B141" s="47" t="s">
        <v>41</v>
      </c>
      <c r="C141" s="48">
        <f>C140+C138</f>
        <v>308.56458739999999</v>
      </c>
      <c r="D141" s="48">
        <f t="shared" ref="D141:E141" si="69">D140+D138</f>
        <v>188.865621</v>
      </c>
      <c r="E141" s="48">
        <f t="shared" si="69"/>
        <v>161.08722979999999</v>
      </c>
      <c r="F141" s="48">
        <f>F140+F138</f>
        <v>59.878521130000003</v>
      </c>
      <c r="G141" s="48">
        <f t="shared" ref="G141:H141" si="70">G140+G138</f>
        <v>7.9696419299999999</v>
      </c>
      <c r="H141" s="48">
        <f t="shared" si="70"/>
        <v>7.3947482119999997</v>
      </c>
      <c r="I141" s="48">
        <f>I140+I138</f>
        <v>11.445668039999999</v>
      </c>
      <c r="J141" s="48">
        <f t="shared" ref="J141:N141" si="71">J140+J138</f>
        <v>10.81326323</v>
      </c>
      <c r="K141" s="48">
        <f t="shared" si="71"/>
        <v>10.88924709</v>
      </c>
      <c r="L141" s="48">
        <f t="shared" si="71"/>
        <v>10.597065580000001</v>
      </c>
      <c r="M141" s="48">
        <f t="shared" si="71"/>
        <v>23.243384970000001</v>
      </c>
      <c r="N141" s="48">
        <f t="shared" si="71"/>
        <v>23.46585627</v>
      </c>
      <c r="O141" s="48">
        <f>O140+O138</f>
        <v>18.622373110000002</v>
      </c>
      <c r="P141" s="48">
        <f>P140+P138</f>
        <v>17.597540469999998</v>
      </c>
      <c r="Q141" s="48">
        <f>Q140+Q138</f>
        <v>30.271333259999999</v>
      </c>
      <c r="R141" s="49">
        <f>R140+R138</f>
        <v>60.253257060000003</v>
      </c>
      <c r="S141" s="111"/>
      <c r="T141" s="100" t="s">
        <v>73</v>
      </c>
    </row>
    <row r="142" spans="2:21" x14ac:dyDescent="0.25">
      <c r="B142" s="10" t="s">
        <v>8</v>
      </c>
      <c r="C142" s="8">
        <f>$C$16</f>
        <v>150</v>
      </c>
      <c r="D142" s="8">
        <f>$D$16</f>
        <v>150</v>
      </c>
      <c r="E142" s="8">
        <f>$E$16</f>
        <v>150</v>
      </c>
      <c r="F142" s="8">
        <f>$F$16</f>
        <v>150</v>
      </c>
      <c r="G142" s="8">
        <f>$G$16</f>
        <v>150</v>
      </c>
      <c r="H142" s="8">
        <f>$H$16</f>
        <v>100</v>
      </c>
      <c r="I142" s="8">
        <f>$I$16</f>
        <v>65</v>
      </c>
      <c r="J142" s="8">
        <f>$J$16</f>
        <v>65</v>
      </c>
      <c r="K142" s="8">
        <f>$K$16</f>
        <v>65</v>
      </c>
      <c r="L142" s="8">
        <f>$L$16</f>
        <v>65</v>
      </c>
      <c r="M142" s="8">
        <f>$M$16</f>
        <v>65</v>
      </c>
      <c r="N142" s="8">
        <f>$N$16</f>
        <v>65</v>
      </c>
      <c r="O142" s="8">
        <f>$O$16</f>
        <v>65</v>
      </c>
      <c r="P142" s="8">
        <f>$P$16</f>
        <v>65</v>
      </c>
      <c r="Q142" s="8">
        <f>$Q$16</f>
        <v>65</v>
      </c>
      <c r="R142" s="9">
        <f>$R$16</f>
        <v>65</v>
      </c>
      <c r="S142" s="112"/>
      <c r="T142" s="100" t="s">
        <v>74</v>
      </c>
    </row>
    <row r="143" spans="2:21" ht="15.75" thickBot="1" x14ac:dyDescent="0.3">
      <c r="B143" s="37" t="s">
        <v>15</v>
      </c>
      <c r="C143" s="38">
        <f>IF(C141&gt;C142,0,(C142-C141)*-1)</f>
        <v>0</v>
      </c>
      <c r="D143" s="38">
        <f t="shared" ref="D143:E143" si="72">IF(D141&gt;D142,0,(D142-D141)*-1)</f>
        <v>0</v>
      </c>
      <c r="E143" s="38">
        <f t="shared" si="72"/>
        <v>0</v>
      </c>
      <c r="F143" s="38">
        <f>IF(F141&gt;F142,0,(F142-F141)*-1)</f>
        <v>-90.121478870000004</v>
      </c>
      <c r="G143" s="38">
        <f t="shared" ref="G143" si="73">IF(G141&gt;G142,0,(G142-G141)*-1)</f>
        <v>-142.03035807000001</v>
      </c>
      <c r="H143" s="38">
        <f>IF(H141&gt;H142,0,(H142-H141)*-1)</f>
        <v>-92.605251788000004</v>
      </c>
      <c r="I143" s="38">
        <f t="shared" ref="I143:N143" si="74">IF(I141&gt;I142,0,(I142-I141)*-1)</f>
        <v>-53.554331959999999</v>
      </c>
      <c r="J143" s="38">
        <f t="shared" si="74"/>
        <v>-54.186736769999996</v>
      </c>
      <c r="K143" s="38">
        <f t="shared" si="74"/>
        <v>-54.110752910000002</v>
      </c>
      <c r="L143" s="38">
        <f t="shared" si="74"/>
        <v>-54.402934420000001</v>
      </c>
      <c r="M143" s="38">
        <f t="shared" si="74"/>
        <v>-41.756615029999999</v>
      </c>
      <c r="N143" s="38">
        <f t="shared" si="74"/>
        <v>-41.534143729999997</v>
      </c>
      <c r="O143" s="38">
        <f>IF(O141&gt;O142,0,(O142-O141)*-1)</f>
        <v>-46.377626890000002</v>
      </c>
      <c r="P143" s="38">
        <f>IF(P141&gt;P142,0,(P142-P141)*-1)</f>
        <v>-47.402459530000002</v>
      </c>
      <c r="Q143" s="38">
        <f>IF(Q141&gt;Q142,0,(Q142-Q141)*-1)</f>
        <v>-34.728666740000001</v>
      </c>
      <c r="R143" s="39">
        <f>IF(R141&gt;R142,0,(R142-R141)*-1)</f>
        <v>-4.7467429399999972</v>
      </c>
      <c r="S143" s="105"/>
      <c r="T143" s="100" t="s">
        <v>75</v>
      </c>
    </row>
    <row r="144" spans="2:21" x14ac:dyDescent="0.25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18"/>
    </row>
    <row r="145" spans="2:21" x14ac:dyDescent="0.25">
      <c r="B145" s="35" t="s">
        <v>2</v>
      </c>
      <c r="C145" s="36">
        <v>30</v>
      </c>
      <c r="D145" s="36">
        <v>30</v>
      </c>
      <c r="E145" s="36">
        <v>20</v>
      </c>
      <c r="F145" s="36">
        <v>20</v>
      </c>
      <c r="G145" s="36">
        <v>1</v>
      </c>
      <c r="H145" s="36">
        <v>1</v>
      </c>
      <c r="I145" s="36">
        <v>1</v>
      </c>
      <c r="J145" s="36">
        <v>1</v>
      </c>
      <c r="K145" s="36">
        <v>1</v>
      </c>
      <c r="L145" s="36">
        <v>1</v>
      </c>
      <c r="M145" s="36">
        <v>1</v>
      </c>
      <c r="N145" s="36">
        <v>1</v>
      </c>
      <c r="O145" s="36">
        <v>1</v>
      </c>
      <c r="P145" s="36">
        <v>1</v>
      </c>
      <c r="Q145" s="36">
        <v>3</v>
      </c>
      <c r="R145" s="36">
        <v>3</v>
      </c>
      <c r="S145" s="66"/>
      <c r="T145" s="100" t="s">
        <v>103</v>
      </c>
    </row>
    <row r="146" spans="2:21" s="12" customFormat="1" x14ac:dyDescent="0.25">
      <c r="B146" s="62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102"/>
      <c r="U146" s="13"/>
    </row>
    <row r="147" spans="2:21" ht="15.75" thickBot="1" x14ac:dyDescent="0.3">
      <c r="B147" s="4" t="s">
        <v>67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18"/>
    </row>
    <row r="148" spans="2:21" ht="15.75" thickBot="1" x14ac:dyDescent="0.3">
      <c r="B148" s="72" t="s">
        <v>5</v>
      </c>
      <c r="C148" s="46">
        <v>0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121">
        <v>0</v>
      </c>
      <c r="R148" s="46">
        <v>0</v>
      </c>
      <c r="S148" s="105"/>
      <c r="T148" s="100" t="s">
        <v>81</v>
      </c>
    </row>
    <row r="149" spans="2:21" x14ac:dyDescent="0.25">
      <c r="B149" s="79" t="s">
        <v>7</v>
      </c>
      <c r="C149" s="16">
        <f>IF(C163&gt;C162,((C163-C162)*-1),((C162-C163)))</f>
        <v>880</v>
      </c>
      <c r="D149" s="16">
        <f t="shared" ref="D149:E149" si="75">IF(D163&gt;D162,((D163-D162)*-1),((D162-D163)))</f>
        <v>731.5</v>
      </c>
      <c r="E149" s="16">
        <f t="shared" si="75"/>
        <v>614</v>
      </c>
      <c r="F149" s="16">
        <f>IF(F163&gt;F162,((F163-F162)*-1),((F162-F163)))</f>
        <v>413</v>
      </c>
      <c r="G149" s="16">
        <f>IF(G163&gt;G162,((G163-G162)*-1),((G162-G163)))</f>
        <v>126.5</v>
      </c>
      <c r="H149" s="16">
        <f t="shared" ref="H149:R149" si="76">IF(H163&gt;H162,((H163-H162)*-1),((H162-H163)))</f>
        <v>7</v>
      </c>
      <c r="I149" s="16">
        <f t="shared" si="76"/>
        <v>-16</v>
      </c>
      <c r="J149" s="16">
        <f t="shared" si="76"/>
        <v>-43</v>
      </c>
      <c r="K149" s="16">
        <f t="shared" si="76"/>
        <v>-50</v>
      </c>
      <c r="L149" s="16">
        <f t="shared" si="76"/>
        <v>-51</v>
      </c>
      <c r="M149" s="16">
        <f t="shared" si="76"/>
        <v>-42</v>
      </c>
      <c r="N149" s="16">
        <f t="shared" si="76"/>
        <v>-25</v>
      </c>
      <c r="O149" s="16">
        <f t="shared" si="76"/>
        <v>-17</v>
      </c>
      <c r="P149" s="16">
        <f t="shared" si="76"/>
        <v>-4</v>
      </c>
      <c r="Q149" s="16">
        <f t="shared" si="76"/>
        <v>45</v>
      </c>
      <c r="R149" s="14">
        <f t="shared" si="76"/>
        <v>179</v>
      </c>
      <c r="S149" s="18"/>
      <c r="T149" s="100" t="s">
        <v>72</v>
      </c>
    </row>
    <row r="150" spans="2:21" ht="15.75" thickBot="1" x14ac:dyDescent="0.3">
      <c r="B150" s="80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7"/>
      <c r="S150" s="18"/>
    </row>
    <row r="151" spans="2:21" ht="15.75" thickBot="1" x14ac:dyDescent="0.3">
      <c r="B151" s="73" t="s">
        <v>6</v>
      </c>
      <c r="C151" s="46">
        <v>0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121">
        <v>0</v>
      </c>
      <c r="R151" s="46">
        <v>0</v>
      </c>
      <c r="S151" s="105"/>
      <c r="T151" s="100" t="s">
        <v>81</v>
      </c>
    </row>
    <row r="152" spans="2:21" x14ac:dyDescent="0.25">
      <c r="B152" s="79" t="s">
        <v>7</v>
      </c>
      <c r="C152" s="16">
        <f>IF(C163&gt;C162,((C163-C162)*-1),((C162-C163)))</f>
        <v>880</v>
      </c>
      <c r="D152" s="16">
        <f t="shared" ref="D152:R152" si="77">IF(D163&gt;D162,((D163-D162)*-1),((D162-D163)))</f>
        <v>731.5</v>
      </c>
      <c r="E152" s="16">
        <f t="shared" si="77"/>
        <v>614</v>
      </c>
      <c r="F152" s="16">
        <f t="shared" si="77"/>
        <v>413</v>
      </c>
      <c r="G152" s="16">
        <f t="shared" si="77"/>
        <v>126.5</v>
      </c>
      <c r="H152" s="16">
        <f t="shared" si="77"/>
        <v>7</v>
      </c>
      <c r="I152" s="16">
        <f t="shared" si="77"/>
        <v>-16</v>
      </c>
      <c r="J152" s="16">
        <f t="shared" si="77"/>
        <v>-43</v>
      </c>
      <c r="K152" s="16">
        <f t="shared" si="77"/>
        <v>-50</v>
      </c>
      <c r="L152" s="16">
        <f t="shared" si="77"/>
        <v>-51</v>
      </c>
      <c r="M152" s="16">
        <f t="shared" si="77"/>
        <v>-42</v>
      </c>
      <c r="N152" s="16">
        <f t="shared" si="77"/>
        <v>-25</v>
      </c>
      <c r="O152" s="16">
        <f t="shared" si="77"/>
        <v>-17</v>
      </c>
      <c r="P152" s="16">
        <f t="shared" si="77"/>
        <v>-4</v>
      </c>
      <c r="Q152" s="16">
        <f t="shared" si="77"/>
        <v>45</v>
      </c>
      <c r="R152" s="14">
        <f t="shared" si="77"/>
        <v>179</v>
      </c>
      <c r="S152" s="18"/>
      <c r="T152" s="100" t="s">
        <v>72</v>
      </c>
    </row>
    <row r="153" spans="2:21" s="4" customFormat="1" ht="15.75" thickBot="1" x14ac:dyDescent="0.3">
      <c r="B153" s="80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7"/>
      <c r="S153" s="18"/>
      <c r="T153" s="100"/>
      <c r="U153" s="126"/>
    </row>
    <row r="154" spans="2:21" ht="15.75" thickBot="1" x14ac:dyDescent="0.3">
      <c r="B154" s="73" t="s">
        <v>60</v>
      </c>
      <c r="C154" s="46">
        <v>0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121">
        <v>0</v>
      </c>
      <c r="R154" s="46">
        <v>0</v>
      </c>
      <c r="S154" s="105"/>
      <c r="T154" s="100" t="s">
        <v>81</v>
      </c>
    </row>
    <row r="155" spans="2:21" x14ac:dyDescent="0.25">
      <c r="B155" s="79" t="s">
        <v>7</v>
      </c>
      <c r="C155" s="16">
        <f>IF(C163&gt;C162,((C163-C162)*-1),((C162-C163)))</f>
        <v>880</v>
      </c>
      <c r="D155" s="16">
        <f t="shared" ref="D155" si="78">IF(D163&gt;D162,((D163-D162)*-1),((D162-D163)))</f>
        <v>731.5</v>
      </c>
      <c r="E155" s="16">
        <f>IF(E163&gt;E162,((E163-E162)*-1),((E162-E163)))</f>
        <v>614</v>
      </c>
      <c r="F155" s="16">
        <f t="shared" ref="F155:R155" si="79">IF(F163&gt;F162,((F163-F162)*-1),((F162-F163)))</f>
        <v>413</v>
      </c>
      <c r="G155" s="16">
        <f t="shared" si="79"/>
        <v>126.5</v>
      </c>
      <c r="H155" s="16">
        <f t="shared" si="79"/>
        <v>7</v>
      </c>
      <c r="I155" s="16">
        <f t="shared" si="79"/>
        <v>-16</v>
      </c>
      <c r="J155" s="16">
        <f t="shared" si="79"/>
        <v>-43</v>
      </c>
      <c r="K155" s="16">
        <f t="shared" si="79"/>
        <v>-50</v>
      </c>
      <c r="L155" s="16">
        <f t="shared" si="79"/>
        <v>-51</v>
      </c>
      <c r="M155" s="16">
        <f t="shared" si="79"/>
        <v>-42</v>
      </c>
      <c r="N155" s="16">
        <f t="shared" si="79"/>
        <v>-25</v>
      </c>
      <c r="O155" s="16">
        <f t="shared" si="79"/>
        <v>-17</v>
      </c>
      <c r="P155" s="16">
        <f t="shared" si="79"/>
        <v>-4</v>
      </c>
      <c r="Q155" s="16">
        <f t="shared" si="79"/>
        <v>45</v>
      </c>
      <c r="R155" s="14">
        <f t="shared" si="79"/>
        <v>179</v>
      </c>
      <c r="S155" s="18"/>
      <c r="T155" s="100" t="s">
        <v>72</v>
      </c>
    </row>
    <row r="156" spans="2:21" s="4" customFormat="1" x14ac:dyDescent="0.25">
      <c r="B156" s="81" t="s">
        <v>26</v>
      </c>
      <c r="C156" s="18">
        <f t="shared" ref="C156:N156" si="80">SUM(C148+C151+C154)</f>
        <v>0</v>
      </c>
      <c r="D156" s="18">
        <f t="shared" si="80"/>
        <v>0</v>
      </c>
      <c r="E156" s="18">
        <f t="shared" si="80"/>
        <v>0</v>
      </c>
      <c r="F156" s="18">
        <f t="shared" si="80"/>
        <v>0</v>
      </c>
      <c r="G156" s="18">
        <f t="shared" si="80"/>
        <v>0</v>
      </c>
      <c r="H156" s="18">
        <f t="shared" si="80"/>
        <v>0</v>
      </c>
      <c r="I156" s="18">
        <f t="shared" si="80"/>
        <v>0</v>
      </c>
      <c r="J156" s="18">
        <f t="shared" si="80"/>
        <v>0</v>
      </c>
      <c r="K156" s="18">
        <f t="shared" si="80"/>
        <v>0</v>
      </c>
      <c r="L156" s="18">
        <f t="shared" si="80"/>
        <v>0</v>
      </c>
      <c r="M156" s="18">
        <f t="shared" si="80"/>
        <v>0</v>
      </c>
      <c r="N156" s="18">
        <f t="shared" si="80"/>
        <v>0</v>
      </c>
      <c r="O156" s="18">
        <f>SUM(O148+O151+O154)</f>
        <v>0</v>
      </c>
      <c r="P156" s="18">
        <f>SUM(P148+P151+P154)</f>
        <v>0</v>
      </c>
      <c r="Q156" s="18">
        <f>SUM(Q148+Q151+Q154)</f>
        <v>0</v>
      </c>
      <c r="R156" s="17">
        <f>SUM(R148+R151+R154)</f>
        <v>0</v>
      </c>
      <c r="S156" s="18"/>
      <c r="T156" s="100" t="s">
        <v>97</v>
      </c>
      <c r="U156" s="126"/>
    </row>
    <row r="157" spans="2:21" s="26" customFormat="1" ht="15.75" thickBot="1" x14ac:dyDescent="0.3">
      <c r="B157" s="80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7"/>
      <c r="S157" s="18"/>
      <c r="T157" s="100"/>
      <c r="U157" s="25"/>
    </row>
    <row r="158" spans="2:21" s="64" customFormat="1" ht="15.75" thickBot="1" x14ac:dyDescent="0.3">
      <c r="B158" s="70" t="s">
        <v>69</v>
      </c>
      <c r="C158" s="82">
        <v>0</v>
      </c>
      <c r="D158" s="82">
        <v>0</v>
      </c>
      <c r="E158" s="82">
        <v>0</v>
      </c>
      <c r="F158" s="82">
        <v>0</v>
      </c>
      <c r="G158" s="82">
        <v>0</v>
      </c>
      <c r="H158" s="82">
        <v>0</v>
      </c>
      <c r="I158" s="82">
        <v>0</v>
      </c>
      <c r="J158" s="82">
        <v>0</v>
      </c>
      <c r="K158" s="82">
        <v>0</v>
      </c>
      <c r="L158" s="82">
        <v>0</v>
      </c>
      <c r="M158" s="82">
        <v>0</v>
      </c>
      <c r="N158" s="82">
        <v>0</v>
      </c>
      <c r="O158" s="82">
        <v>0</v>
      </c>
      <c r="P158" s="82">
        <v>0</v>
      </c>
      <c r="Q158" s="82">
        <v>0</v>
      </c>
      <c r="R158" s="82">
        <v>0</v>
      </c>
      <c r="S158" s="106"/>
      <c r="T158" s="103" t="s">
        <v>156</v>
      </c>
      <c r="U158" s="83"/>
    </row>
    <row r="159" spans="2:21" x14ac:dyDescent="0.25">
      <c r="B159" s="84" t="s">
        <v>20</v>
      </c>
      <c r="C159" s="57">
        <f>SUM(C156+C138)*(1+C158)</f>
        <v>0</v>
      </c>
      <c r="D159" s="57">
        <f t="shared" ref="D159:N159" si="81">SUM(D156+D138)*(1+D158)</f>
        <v>0</v>
      </c>
      <c r="E159" s="57">
        <f t="shared" si="81"/>
        <v>0</v>
      </c>
      <c r="F159" s="57">
        <f t="shared" si="81"/>
        <v>0</v>
      </c>
      <c r="G159" s="57">
        <f t="shared" si="81"/>
        <v>0</v>
      </c>
      <c r="H159" s="57">
        <f t="shared" si="81"/>
        <v>0</v>
      </c>
      <c r="I159" s="57">
        <f t="shared" si="81"/>
        <v>0</v>
      </c>
      <c r="J159" s="57">
        <f t="shared" si="81"/>
        <v>0</v>
      </c>
      <c r="K159" s="57">
        <f t="shared" si="81"/>
        <v>0</v>
      </c>
      <c r="L159" s="57">
        <f t="shared" si="81"/>
        <v>0</v>
      </c>
      <c r="M159" s="57">
        <f t="shared" si="81"/>
        <v>0</v>
      </c>
      <c r="N159" s="57">
        <f t="shared" si="81"/>
        <v>0</v>
      </c>
      <c r="O159" s="57">
        <f>SUM(O156+O138)*(1+O158)</f>
        <v>0</v>
      </c>
      <c r="P159" s="122">
        <f>SUM(P156+P138)*(1+P158)</f>
        <v>0</v>
      </c>
      <c r="Q159" s="57">
        <f>SUM(Q156+Q138)*(1+Q158)</f>
        <v>0</v>
      </c>
      <c r="R159" s="68">
        <f>SUM(R156+R138)*(1+R158)</f>
        <v>0</v>
      </c>
      <c r="S159" s="110"/>
      <c r="T159" s="100" t="s">
        <v>99</v>
      </c>
    </row>
    <row r="160" spans="2:21" ht="15.75" thickBot="1" x14ac:dyDescent="0.3">
      <c r="B160" s="71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3"/>
      <c r="S160" s="110"/>
    </row>
    <row r="161" spans="2:20" ht="15.75" thickBot="1" x14ac:dyDescent="0.3">
      <c r="B161" s="24" t="s">
        <v>58</v>
      </c>
      <c r="C161" s="123">
        <v>1030</v>
      </c>
      <c r="D161" s="123">
        <v>881.5</v>
      </c>
      <c r="E161" s="123">
        <v>764</v>
      </c>
      <c r="F161" s="123">
        <v>563</v>
      </c>
      <c r="G161" s="123">
        <v>276.5</v>
      </c>
      <c r="H161" s="123">
        <v>107</v>
      </c>
      <c r="I161" s="123">
        <v>49</v>
      </c>
      <c r="J161" s="123">
        <v>22</v>
      </c>
      <c r="K161" s="123">
        <v>15</v>
      </c>
      <c r="L161" s="123">
        <v>14</v>
      </c>
      <c r="M161" s="123">
        <v>23</v>
      </c>
      <c r="N161" s="123">
        <v>40</v>
      </c>
      <c r="O161" s="123">
        <v>48</v>
      </c>
      <c r="P161" s="123">
        <v>61</v>
      </c>
      <c r="Q161" s="123">
        <v>110</v>
      </c>
      <c r="R161" s="123">
        <v>244</v>
      </c>
      <c r="S161" s="27"/>
      <c r="T161" s="100" t="s">
        <v>84</v>
      </c>
    </row>
    <row r="162" spans="2:20" x14ac:dyDescent="0.25">
      <c r="B162" s="47" t="s">
        <v>51</v>
      </c>
      <c r="C162" s="48">
        <f>C161+C159</f>
        <v>1030</v>
      </c>
      <c r="D162" s="48">
        <f t="shared" ref="D162:E162" si="82">D161+D159</f>
        <v>881.5</v>
      </c>
      <c r="E162" s="48">
        <f t="shared" si="82"/>
        <v>764</v>
      </c>
      <c r="F162" s="48">
        <f>F161+F159</f>
        <v>563</v>
      </c>
      <c r="G162" s="48">
        <f t="shared" ref="G162:H162" si="83">G161+G159</f>
        <v>276.5</v>
      </c>
      <c r="H162" s="48">
        <f t="shared" si="83"/>
        <v>107</v>
      </c>
      <c r="I162" s="48">
        <f>I161+I159</f>
        <v>49</v>
      </c>
      <c r="J162" s="48">
        <f t="shared" ref="J162:N162" si="84">J161+J159</f>
        <v>22</v>
      </c>
      <c r="K162" s="48">
        <f t="shared" si="84"/>
        <v>15</v>
      </c>
      <c r="L162" s="48">
        <f t="shared" si="84"/>
        <v>14</v>
      </c>
      <c r="M162" s="48">
        <f t="shared" si="84"/>
        <v>23</v>
      </c>
      <c r="N162" s="48">
        <f t="shared" si="84"/>
        <v>40</v>
      </c>
      <c r="O162" s="48">
        <f>O161+O159</f>
        <v>48</v>
      </c>
      <c r="P162" s="48">
        <f>P161+P159</f>
        <v>61</v>
      </c>
      <c r="Q162" s="48">
        <f>Q161+Q159</f>
        <v>110</v>
      </c>
      <c r="R162" s="49">
        <f>R161+R159</f>
        <v>244</v>
      </c>
      <c r="S162" s="111"/>
      <c r="T162" s="100" t="s">
        <v>73</v>
      </c>
    </row>
    <row r="163" spans="2:20" x14ac:dyDescent="0.25">
      <c r="B163" s="10" t="s">
        <v>8</v>
      </c>
      <c r="C163" s="8">
        <f>$C$16</f>
        <v>150</v>
      </c>
      <c r="D163" s="8">
        <f>$D$16</f>
        <v>150</v>
      </c>
      <c r="E163" s="8">
        <f>$E$16</f>
        <v>150</v>
      </c>
      <c r="F163" s="8">
        <f>$F$16</f>
        <v>150</v>
      </c>
      <c r="G163" s="8">
        <f>$G$16</f>
        <v>150</v>
      </c>
      <c r="H163" s="8">
        <f>$H$16</f>
        <v>100</v>
      </c>
      <c r="I163" s="8">
        <f>$I$16</f>
        <v>65</v>
      </c>
      <c r="J163" s="8">
        <f>$J$16</f>
        <v>65</v>
      </c>
      <c r="K163" s="8">
        <f>$K$16</f>
        <v>65</v>
      </c>
      <c r="L163" s="8">
        <f>$L$16</f>
        <v>65</v>
      </c>
      <c r="M163" s="8">
        <f>$M$16</f>
        <v>65</v>
      </c>
      <c r="N163" s="8">
        <f>$N$16</f>
        <v>65</v>
      </c>
      <c r="O163" s="8">
        <f>$O$16</f>
        <v>65</v>
      </c>
      <c r="P163" s="8">
        <f>$P$16</f>
        <v>65</v>
      </c>
      <c r="Q163" s="8">
        <f>$Q$16</f>
        <v>65</v>
      </c>
      <c r="R163" s="9">
        <f>$R$16</f>
        <v>65</v>
      </c>
      <c r="S163" s="112"/>
      <c r="T163" s="100" t="s">
        <v>74</v>
      </c>
    </row>
    <row r="164" spans="2:20" ht="15.75" thickBot="1" x14ac:dyDescent="0.3">
      <c r="B164" s="37" t="s">
        <v>16</v>
      </c>
      <c r="C164" s="38">
        <f>IF(C162&gt;C163,0,(C163-C162)*-1)</f>
        <v>0</v>
      </c>
      <c r="D164" s="38">
        <f t="shared" ref="D164:E164" si="85">IF(D162&gt;D163,0,(D163-D162)*-1)</f>
        <v>0</v>
      </c>
      <c r="E164" s="38">
        <f t="shared" si="85"/>
        <v>0</v>
      </c>
      <c r="F164" s="38">
        <f>IF(F162&gt;F163,0,(F163-F162)*-1)</f>
        <v>0</v>
      </c>
      <c r="G164" s="38">
        <f t="shared" ref="G164" si="86">IF(G162&gt;G163,0,(G163-G162)*-1)</f>
        <v>0</v>
      </c>
      <c r="H164" s="38">
        <f>IF(H162&gt;H163,0,(H163-H162)*-1)</f>
        <v>0</v>
      </c>
      <c r="I164" s="38">
        <f t="shared" ref="I164:N164" si="87">IF(I162&gt;I163,0,(I163-I162)*-1)</f>
        <v>-16</v>
      </c>
      <c r="J164" s="38">
        <f t="shared" si="87"/>
        <v>-43</v>
      </c>
      <c r="K164" s="38">
        <f>IF(K162&gt;K163,0,(K163-K162)*-1)</f>
        <v>-50</v>
      </c>
      <c r="L164" s="38">
        <f>IF(L162&gt;L163,0,(L163-L162)*-1)</f>
        <v>-51</v>
      </c>
      <c r="M164" s="38">
        <f t="shared" si="87"/>
        <v>-42</v>
      </c>
      <c r="N164" s="38">
        <f t="shared" si="87"/>
        <v>-25</v>
      </c>
      <c r="O164" s="38">
        <f>IF(O162&gt;O163,0,(O163-O162)*-1)</f>
        <v>-17</v>
      </c>
      <c r="P164" s="38">
        <f>IF(P162&gt;P163,0,(P163-P162)*-1)</f>
        <v>-4</v>
      </c>
      <c r="Q164" s="38">
        <f>IF(Q162&gt;Q163,0,(Q163-Q162)*-1)</f>
        <v>0</v>
      </c>
      <c r="R164" s="39">
        <f>IF(R162&gt;R163,0,(R163-R162)*-1)</f>
        <v>0</v>
      </c>
      <c r="S164" s="105"/>
      <c r="T164" s="100" t="s">
        <v>75</v>
      </c>
    </row>
    <row r="165" spans="2:20" x14ac:dyDescent="0.25">
      <c r="B165" s="40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105"/>
    </row>
    <row r="166" spans="2:20" ht="15.75" thickBot="1" x14ac:dyDescent="0.3">
      <c r="B166" s="67" t="s">
        <v>62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18"/>
    </row>
    <row r="167" spans="2:20" ht="15.75" thickBot="1" x14ac:dyDescent="0.3">
      <c r="B167" s="94" t="s">
        <v>5</v>
      </c>
      <c r="C167" s="46">
        <v>0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121">
        <v>0</v>
      </c>
      <c r="R167" s="46">
        <v>0</v>
      </c>
      <c r="S167" s="105"/>
      <c r="T167" s="100" t="s">
        <v>82</v>
      </c>
    </row>
    <row r="168" spans="2:20" x14ac:dyDescent="0.25">
      <c r="B168" s="95" t="s">
        <v>7</v>
      </c>
      <c r="C168" s="16">
        <f>IF(C182&gt;C181,((C182-C181)*-1),((C181-C182)))</f>
        <v>667.29318639999997</v>
      </c>
      <c r="D168" s="16">
        <f t="shared" ref="D168:E168" si="88">IF(D182&gt;D181,((D182-D181)*-1),((D181-D182)))</f>
        <v>303.71796180000001</v>
      </c>
      <c r="E168" s="16">
        <f t="shared" si="88"/>
        <v>161.46826600000003</v>
      </c>
      <c r="F168" s="16">
        <f>IF(F182&gt;F181,((F182-F181)*-1),((F181-F182)))</f>
        <v>28.594520799999998</v>
      </c>
      <c r="G168" s="16">
        <f>IF(G182&gt;G181,((G182-G181)*-1),((G181-G182)))</f>
        <v>-83.362245610000002</v>
      </c>
      <c r="H168" s="16">
        <f t="shared" ref="H168:R168" si="89">IF(H182&gt;H181,((H182-H181)*-1),((H181-H182)))</f>
        <v>-25.365024930000004</v>
      </c>
      <c r="I168" s="16">
        <f t="shared" si="89"/>
        <v>-11.697123779999998</v>
      </c>
      <c r="J168" s="16">
        <f t="shared" si="89"/>
        <v>-43.272686739999997</v>
      </c>
      <c r="K168" s="16">
        <f t="shared" si="89"/>
        <v>-52.875974749999997</v>
      </c>
      <c r="L168" s="16">
        <f t="shared" si="89"/>
        <v>-52.391070339999999</v>
      </c>
      <c r="M168" s="16">
        <f t="shared" si="89"/>
        <v>-32.895803960000002</v>
      </c>
      <c r="N168" s="16">
        <f t="shared" si="89"/>
        <v>-32.82694549</v>
      </c>
      <c r="O168" s="16">
        <f t="shared" si="89"/>
        <v>-35.772550429999995</v>
      </c>
      <c r="P168" s="16">
        <f t="shared" si="89"/>
        <v>-13.67339046</v>
      </c>
      <c r="Q168" s="16">
        <f t="shared" si="89"/>
        <v>30.708311359999996</v>
      </c>
      <c r="R168" s="14">
        <f t="shared" si="89"/>
        <v>106.41622050000001</v>
      </c>
      <c r="S168" s="18"/>
      <c r="T168" s="100" t="s">
        <v>72</v>
      </c>
    </row>
    <row r="169" spans="2:20" ht="15.75" thickBot="1" x14ac:dyDescent="0.3">
      <c r="B169" s="96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7"/>
      <c r="S169" s="18"/>
    </row>
    <row r="170" spans="2:20" ht="15.75" thickBot="1" x14ac:dyDescent="0.3">
      <c r="B170" s="97" t="s">
        <v>6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121">
        <v>0</v>
      </c>
      <c r="R170" s="46">
        <v>0</v>
      </c>
      <c r="S170" s="105"/>
      <c r="T170" s="100" t="s">
        <v>82</v>
      </c>
    </row>
    <row r="171" spans="2:20" x14ac:dyDescent="0.25">
      <c r="B171" s="95" t="s">
        <v>7</v>
      </c>
      <c r="C171" s="16">
        <f>IF(C182&gt;C181,((C182-C181)*-1),((C181-C182)))</f>
        <v>667.29318639999997</v>
      </c>
      <c r="D171" s="16">
        <f t="shared" ref="D171:R171" si="90">IF(D182&gt;D181,((D182-D181)*-1),((D181-D182)))</f>
        <v>303.71796180000001</v>
      </c>
      <c r="E171" s="16">
        <f t="shared" si="90"/>
        <v>161.46826600000003</v>
      </c>
      <c r="F171" s="16">
        <f t="shared" si="90"/>
        <v>28.594520799999998</v>
      </c>
      <c r="G171" s="16">
        <f t="shared" si="90"/>
        <v>-83.362245610000002</v>
      </c>
      <c r="H171" s="16">
        <f t="shared" si="90"/>
        <v>-25.365024930000004</v>
      </c>
      <c r="I171" s="16">
        <f t="shared" si="90"/>
        <v>-11.697123779999998</v>
      </c>
      <c r="J171" s="16">
        <f t="shared" si="90"/>
        <v>-43.272686739999997</v>
      </c>
      <c r="K171" s="16">
        <f t="shared" si="90"/>
        <v>-52.875974749999997</v>
      </c>
      <c r="L171" s="16">
        <f t="shared" si="90"/>
        <v>-52.391070339999999</v>
      </c>
      <c r="M171" s="16">
        <f t="shared" si="90"/>
        <v>-32.895803960000002</v>
      </c>
      <c r="N171" s="16">
        <f t="shared" si="90"/>
        <v>-32.82694549</v>
      </c>
      <c r="O171" s="16">
        <f t="shared" si="90"/>
        <v>-35.772550429999995</v>
      </c>
      <c r="P171" s="16">
        <f t="shared" si="90"/>
        <v>-13.67339046</v>
      </c>
      <c r="Q171" s="16">
        <f t="shared" si="90"/>
        <v>30.708311359999996</v>
      </c>
      <c r="R171" s="14">
        <f t="shared" si="90"/>
        <v>106.41622050000001</v>
      </c>
      <c r="S171" s="18"/>
      <c r="T171" s="100" t="s">
        <v>72</v>
      </c>
    </row>
    <row r="172" spans="2:20" ht="15.75" thickBot="1" x14ac:dyDescent="0.3">
      <c r="B172" s="96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7"/>
      <c r="S172" s="18"/>
    </row>
    <row r="173" spans="2:20" ht="15.75" thickBot="1" x14ac:dyDescent="0.3">
      <c r="B173" s="73" t="s">
        <v>60</v>
      </c>
      <c r="C173" s="46">
        <v>0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121">
        <v>0</v>
      </c>
      <c r="R173" s="46">
        <v>0</v>
      </c>
      <c r="S173" s="105"/>
      <c r="T173" s="100" t="s">
        <v>82</v>
      </c>
    </row>
    <row r="174" spans="2:20" x14ac:dyDescent="0.25">
      <c r="B174" s="95" t="s">
        <v>7</v>
      </c>
      <c r="C174" s="16">
        <f>IF(C182&gt;C181,((C182-C181)*-1),((C181-C182)))</f>
        <v>667.29318639999997</v>
      </c>
      <c r="D174" s="16">
        <f t="shared" ref="D174" si="91">IF(D182&gt;D181,((D182-D181)*-1),((D181-D182)))</f>
        <v>303.71796180000001</v>
      </c>
      <c r="E174" s="16">
        <f>IF(E182&gt;E181,((E182-E181)*-1),((E181-E182)))</f>
        <v>161.46826600000003</v>
      </c>
      <c r="F174" s="16">
        <f t="shared" ref="F174:R174" si="92">IF(F182&gt;F181,((F182-F181)*-1),((F181-F182)))</f>
        <v>28.594520799999998</v>
      </c>
      <c r="G174" s="16">
        <f t="shared" si="92"/>
        <v>-83.362245610000002</v>
      </c>
      <c r="H174" s="16">
        <f t="shared" si="92"/>
        <v>-25.365024930000004</v>
      </c>
      <c r="I174" s="16">
        <f t="shared" si="92"/>
        <v>-11.697123779999998</v>
      </c>
      <c r="J174" s="16">
        <f t="shared" si="92"/>
        <v>-43.272686739999997</v>
      </c>
      <c r="K174" s="16">
        <f t="shared" si="92"/>
        <v>-52.875974749999997</v>
      </c>
      <c r="L174" s="16">
        <f t="shared" si="92"/>
        <v>-52.391070339999999</v>
      </c>
      <c r="M174" s="16">
        <f t="shared" si="92"/>
        <v>-32.895803960000002</v>
      </c>
      <c r="N174" s="16">
        <f t="shared" si="92"/>
        <v>-32.82694549</v>
      </c>
      <c r="O174" s="16">
        <f t="shared" si="92"/>
        <v>-35.772550429999995</v>
      </c>
      <c r="P174" s="16">
        <f t="shared" si="92"/>
        <v>-13.67339046</v>
      </c>
      <c r="Q174" s="16">
        <f t="shared" si="92"/>
        <v>30.708311359999996</v>
      </c>
      <c r="R174" s="14">
        <f t="shared" si="92"/>
        <v>106.41622050000001</v>
      </c>
      <c r="S174" s="18"/>
      <c r="T174" s="100" t="s">
        <v>72</v>
      </c>
    </row>
    <row r="175" spans="2:20" x14ac:dyDescent="0.25">
      <c r="B175" s="98" t="s">
        <v>27</v>
      </c>
      <c r="C175" s="18">
        <f t="shared" ref="C175:N175" si="93">SUM(C167+C170+C173)</f>
        <v>0</v>
      </c>
      <c r="D175" s="18">
        <f t="shared" si="93"/>
        <v>0</v>
      </c>
      <c r="E175" s="18">
        <f t="shared" si="93"/>
        <v>0</v>
      </c>
      <c r="F175" s="18">
        <f t="shared" si="93"/>
        <v>0</v>
      </c>
      <c r="G175" s="18">
        <f t="shared" si="93"/>
        <v>0</v>
      </c>
      <c r="H175" s="18">
        <f t="shared" si="93"/>
        <v>0</v>
      </c>
      <c r="I175" s="18">
        <f t="shared" si="93"/>
        <v>0</v>
      </c>
      <c r="J175" s="18">
        <f t="shared" si="93"/>
        <v>0</v>
      </c>
      <c r="K175" s="18">
        <f t="shared" si="93"/>
        <v>0</v>
      </c>
      <c r="L175" s="18">
        <f t="shared" si="93"/>
        <v>0</v>
      </c>
      <c r="M175" s="18">
        <f t="shared" si="93"/>
        <v>0</v>
      </c>
      <c r="N175" s="18">
        <f t="shared" si="93"/>
        <v>0</v>
      </c>
      <c r="O175" s="18">
        <f>SUM(O167+O170+O173)</f>
        <v>0</v>
      </c>
      <c r="P175" s="18">
        <f>SUM(P167+P170+P173)</f>
        <v>0</v>
      </c>
      <c r="Q175" s="18">
        <f>SUM(Q167+Q170+Q173)</f>
        <v>0</v>
      </c>
      <c r="R175" s="17">
        <f>SUM(R167+R170+R173)</f>
        <v>0</v>
      </c>
      <c r="S175" s="18"/>
      <c r="T175" s="100" t="s">
        <v>98</v>
      </c>
    </row>
    <row r="176" spans="2:20" ht="15.75" thickBot="1" x14ac:dyDescent="0.3">
      <c r="B176" s="96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3"/>
      <c r="S176" s="118"/>
    </row>
    <row r="177" spans="2:21" s="64" customFormat="1" ht="15.75" thickBot="1" x14ac:dyDescent="0.3">
      <c r="B177" s="70" t="s">
        <v>69</v>
      </c>
      <c r="C177" s="69">
        <v>-0.223</v>
      </c>
      <c r="D177" s="69">
        <v>-0.223</v>
      </c>
      <c r="E177" s="69">
        <v>-0.223</v>
      </c>
      <c r="F177" s="69">
        <v>-0.223</v>
      </c>
      <c r="G177" s="69">
        <v>-0.223</v>
      </c>
      <c r="H177" s="69">
        <v>-0.223</v>
      </c>
      <c r="I177" s="69">
        <v>-0.17299999999999999</v>
      </c>
      <c r="J177" s="69">
        <v>-0.17299999999999999</v>
      </c>
      <c r="K177" s="69">
        <v>-0.36899999999999999</v>
      </c>
      <c r="L177" s="69">
        <v>-0.36899999999999999</v>
      </c>
      <c r="M177" s="82">
        <v>0.35</v>
      </c>
      <c r="N177" s="82">
        <v>0.35</v>
      </c>
      <c r="O177" s="82">
        <v>0.32</v>
      </c>
      <c r="P177" s="82">
        <v>0.32</v>
      </c>
      <c r="Q177" s="82">
        <v>0.32</v>
      </c>
      <c r="R177" s="82">
        <v>0.32</v>
      </c>
      <c r="S177" s="107"/>
      <c r="T177" s="103" t="s">
        <v>134</v>
      </c>
      <c r="U177" s="83"/>
    </row>
    <row r="178" spans="2:21" x14ac:dyDescent="0.25">
      <c r="B178" s="84" t="s">
        <v>20</v>
      </c>
      <c r="C178" s="57">
        <f>SUM(C175+C159)*(1+C177)</f>
        <v>0</v>
      </c>
      <c r="D178" s="57">
        <f t="shared" ref="D178:N178" si="94">SUM(D175+D159)*(1+D177)</f>
        <v>0</v>
      </c>
      <c r="E178" s="57">
        <f t="shared" si="94"/>
        <v>0</v>
      </c>
      <c r="F178" s="57">
        <f t="shared" si="94"/>
        <v>0</v>
      </c>
      <c r="G178" s="57">
        <f t="shared" si="94"/>
        <v>0</v>
      </c>
      <c r="H178" s="57">
        <f t="shared" si="94"/>
        <v>0</v>
      </c>
      <c r="I178" s="57">
        <f t="shared" si="94"/>
        <v>0</v>
      </c>
      <c r="J178" s="57">
        <f t="shared" si="94"/>
        <v>0</v>
      </c>
      <c r="K178" s="57">
        <f t="shared" si="94"/>
        <v>0</v>
      </c>
      <c r="L178" s="57">
        <f t="shared" si="94"/>
        <v>0</v>
      </c>
      <c r="M178" s="57">
        <f t="shared" si="94"/>
        <v>0</v>
      </c>
      <c r="N178" s="57">
        <f t="shared" si="94"/>
        <v>0</v>
      </c>
      <c r="O178" s="57">
        <f>SUM(O175+O159)*(1+O177)</f>
        <v>0</v>
      </c>
      <c r="P178" s="57">
        <f>SUM(P175+P159)*(1+P177)</f>
        <v>0</v>
      </c>
      <c r="Q178" s="57">
        <f>SUM(Q175+Q159)*(1+Q177)</f>
        <v>0</v>
      </c>
      <c r="R178" s="58">
        <f>SUM(R175+R159)*(1+R177)</f>
        <v>0</v>
      </c>
      <c r="S178" s="110"/>
      <c r="T178" s="100" t="s">
        <v>99</v>
      </c>
    </row>
    <row r="179" spans="2:21" ht="15.75" thickBot="1" x14ac:dyDescent="0.3">
      <c r="B179" s="71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3"/>
      <c r="S179" s="110"/>
    </row>
    <row r="180" spans="2:21" ht="15.75" thickBot="1" x14ac:dyDescent="0.3">
      <c r="B180" s="24" t="s">
        <v>59</v>
      </c>
      <c r="C180" s="123">
        <v>817.29318639999997</v>
      </c>
      <c r="D180" s="123">
        <v>453.71796180000001</v>
      </c>
      <c r="E180" s="123">
        <v>311.46826600000003</v>
      </c>
      <c r="F180" s="123">
        <v>178.5945208</v>
      </c>
      <c r="G180" s="123">
        <v>66.637754389999998</v>
      </c>
      <c r="H180" s="123">
        <v>74.634975069999996</v>
      </c>
      <c r="I180" s="123">
        <v>53.302876220000002</v>
      </c>
      <c r="J180" s="123">
        <v>21.727313259999999</v>
      </c>
      <c r="K180" s="123">
        <v>12.124025250000001</v>
      </c>
      <c r="L180" s="123">
        <v>12.608929659999999</v>
      </c>
      <c r="M180" s="123">
        <v>32.104196039999998</v>
      </c>
      <c r="N180" s="123">
        <v>32.17305451</v>
      </c>
      <c r="O180" s="123">
        <v>29.227449570000001</v>
      </c>
      <c r="P180" s="123">
        <v>51.32660954</v>
      </c>
      <c r="Q180" s="123">
        <v>95.708311359999996</v>
      </c>
      <c r="R180" s="123">
        <v>171.41622050000001</v>
      </c>
      <c r="S180" s="27"/>
      <c r="T180" s="100" t="s">
        <v>83</v>
      </c>
    </row>
    <row r="181" spans="2:21" x14ac:dyDescent="0.25">
      <c r="B181" s="47" t="s">
        <v>42</v>
      </c>
      <c r="C181" s="48">
        <f>C180+C178</f>
        <v>817.29318639999997</v>
      </c>
      <c r="D181" s="48">
        <f t="shared" ref="D181:E181" si="95">D180+D178</f>
        <v>453.71796180000001</v>
      </c>
      <c r="E181" s="48">
        <f t="shared" si="95"/>
        <v>311.46826600000003</v>
      </c>
      <c r="F181" s="48">
        <f>F180+F178</f>
        <v>178.5945208</v>
      </c>
      <c r="G181" s="48">
        <f t="shared" ref="G181:H181" si="96">G180+G178</f>
        <v>66.637754389999998</v>
      </c>
      <c r="H181" s="48">
        <f t="shared" si="96"/>
        <v>74.634975069999996</v>
      </c>
      <c r="I181" s="48">
        <f>I180+I178</f>
        <v>53.302876220000002</v>
      </c>
      <c r="J181" s="48">
        <f t="shared" ref="J181:N181" si="97">J180+J178</f>
        <v>21.727313259999999</v>
      </c>
      <c r="K181" s="48">
        <f t="shared" si="97"/>
        <v>12.124025250000001</v>
      </c>
      <c r="L181" s="48">
        <f t="shared" si="97"/>
        <v>12.608929659999999</v>
      </c>
      <c r="M181" s="48">
        <f t="shared" si="97"/>
        <v>32.104196039999998</v>
      </c>
      <c r="N181" s="48">
        <f t="shared" si="97"/>
        <v>32.17305451</v>
      </c>
      <c r="O181" s="48">
        <f>O180+O178</f>
        <v>29.227449570000001</v>
      </c>
      <c r="P181" s="48">
        <f>P180+P178</f>
        <v>51.32660954</v>
      </c>
      <c r="Q181" s="48">
        <f>Q180+Q178</f>
        <v>95.708311359999996</v>
      </c>
      <c r="R181" s="49">
        <f>R180+R178</f>
        <v>171.41622050000001</v>
      </c>
      <c r="S181" s="111"/>
      <c r="T181" s="100" t="s">
        <v>73</v>
      </c>
    </row>
    <row r="182" spans="2:21" x14ac:dyDescent="0.25">
      <c r="B182" s="10" t="s">
        <v>8</v>
      </c>
      <c r="C182" s="8">
        <f>$C$16</f>
        <v>150</v>
      </c>
      <c r="D182" s="8">
        <f>$D$16</f>
        <v>150</v>
      </c>
      <c r="E182" s="8">
        <f>$E$16</f>
        <v>150</v>
      </c>
      <c r="F182" s="8">
        <f>$F$16</f>
        <v>150</v>
      </c>
      <c r="G182" s="8">
        <f>$G$16</f>
        <v>150</v>
      </c>
      <c r="H182" s="8">
        <f>$H$16</f>
        <v>100</v>
      </c>
      <c r="I182" s="8">
        <f>$I$16</f>
        <v>65</v>
      </c>
      <c r="J182" s="8">
        <f>$J$16</f>
        <v>65</v>
      </c>
      <c r="K182" s="8">
        <f>$K$16</f>
        <v>65</v>
      </c>
      <c r="L182" s="8">
        <f>$L$16</f>
        <v>65</v>
      </c>
      <c r="M182" s="8">
        <f>$M$16</f>
        <v>65</v>
      </c>
      <c r="N182" s="8">
        <f>$N$16</f>
        <v>65</v>
      </c>
      <c r="O182" s="8">
        <f>$O$16</f>
        <v>65</v>
      </c>
      <c r="P182" s="8">
        <f>$P$16</f>
        <v>65</v>
      </c>
      <c r="Q182" s="8">
        <f>$Q$16</f>
        <v>65</v>
      </c>
      <c r="R182" s="9">
        <f>$R$16</f>
        <v>65</v>
      </c>
      <c r="S182" s="112"/>
      <c r="T182" s="100" t="s">
        <v>74</v>
      </c>
    </row>
    <row r="183" spans="2:21" ht="15.75" thickBot="1" x14ac:dyDescent="0.3">
      <c r="B183" s="37" t="s">
        <v>17</v>
      </c>
      <c r="C183" s="38">
        <f>IF(C181&gt;C182,0,(C182-C181)*-1)</f>
        <v>0</v>
      </c>
      <c r="D183" s="38">
        <f t="shared" ref="D183:E183" si="98">IF(D181&gt;D182,0,(D182-D181)*-1)</f>
        <v>0</v>
      </c>
      <c r="E183" s="38">
        <f t="shared" si="98"/>
        <v>0</v>
      </c>
      <c r="F183" s="38">
        <f>IF(F181&gt;F182,0,(F182-F181)*-1)</f>
        <v>0</v>
      </c>
      <c r="G183" s="38">
        <f>IF(G181&gt;G182,0,(G182-G181)*-1)</f>
        <v>-83.362245610000002</v>
      </c>
      <c r="H183" s="38">
        <f>IF(H181&gt;H182,0,(H182-H181)*-1)</f>
        <v>-25.365024930000004</v>
      </c>
      <c r="I183" s="38">
        <f t="shared" ref="I183:N183" si="99">IF(I181&gt;I182,0,(I182-I181)*-1)</f>
        <v>-11.697123779999998</v>
      </c>
      <c r="J183" s="38">
        <f>IF(J181&gt;J182,0,(J182-J181)*-1)</f>
        <v>-43.272686739999997</v>
      </c>
      <c r="K183" s="38">
        <f t="shared" si="99"/>
        <v>-52.875974749999997</v>
      </c>
      <c r="L183" s="38">
        <f t="shared" si="99"/>
        <v>-52.391070339999999</v>
      </c>
      <c r="M183" s="38">
        <f t="shared" si="99"/>
        <v>-32.895803960000002</v>
      </c>
      <c r="N183" s="38">
        <f t="shared" si="99"/>
        <v>-32.82694549</v>
      </c>
      <c r="O183" s="38">
        <f>IF(O181&gt;O182,0,(O182-O181)*-1)</f>
        <v>-35.772550429999995</v>
      </c>
      <c r="P183" s="38">
        <f>IF(P181&gt;P182,0,(P182-P181)*-1)</f>
        <v>-13.67339046</v>
      </c>
      <c r="Q183" s="38">
        <f>IF(Q181&gt;Q182,0,(Q182-Q181)*-1)</f>
        <v>0</v>
      </c>
      <c r="R183" s="39">
        <f>IF(R181&gt;R182,0,(R182-R181)*-1)</f>
        <v>0</v>
      </c>
      <c r="S183" s="105"/>
      <c r="T183" s="100" t="s">
        <v>75</v>
      </c>
    </row>
    <row r="184" spans="2:21" x14ac:dyDescent="0.2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115"/>
    </row>
    <row r="185" spans="2:21" x14ac:dyDescent="0.25">
      <c r="B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2"/>
      <c r="U185" s="1"/>
    </row>
    <row r="186" spans="2:21" x14ac:dyDescent="0.25">
      <c r="B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2"/>
      <c r="U186" s="1"/>
    </row>
    <row r="187" spans="2:21" x14ac:dyDescent="0.25">
      <c r="B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2"/>
      <c r="U187" s="1"/>
    </row>
    <row r="188" spans="2:21" x14ac:dyDescent="0.25">
      <c r="B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2"/>
      <c r="U188" s="1"/>
    </row>
    <row r="189" spans="2:21" x14ac:dyDescent="0.25">
      <c r="B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2"/>
      <c r="U189" s="1"/>
    </row>
    <row r="190" spans="2:21" x14ac:dyDescent="0.25">
      <c r="B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2"/>
      <c r="U190" s="1"/>
    </row>
    <row r="191" spans="2:21" x14ac:dyDescent="0.25">
      <c r="B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2"/>
      <c r="U191" s="1"/>
    </row>
    <row r="192" spans="2:21" x14ac:dyDescent="0.25">
      <c r="B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2"/>
      <c r="U192" s="1"/>
    </row>
    <row r="193" spans="2:21" x14ac:dyDescent="0.25">
      <c r="B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2"/>
      <c r="U193" s="1"/>
    </row>
    <row r="194" spans="2:21" x14ac:dyDescent="0.25">
      <c r="B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2"/>
      <c r="U194" s="1"/>
    </row>
    <row r="195" spans="2:21" x14ac:dyDescent="0.25">
      <c r="B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2"/>
      <c r="U195" s="1"/>
    </row>
    <row r="196" spans="2:21" x14ac:dyDescent="0.25">
      <c r="B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2"/>
      <c r="U196" s="1"/>
    </row>
    <row r="197" spans="2:21" x14ac:dyDescent="0.25">
      <c r="B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2"/>
      <c r="U197" s="1"/>
    </row>
    <row r="198" spans="2:21" x14ac:dyDescent="0.25">
      <c r="B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2"/>
      <c r="U198" s="1"/>
    </row>
    <row r="199" spans="2:21" x14ac:dyDescent="0.25">
      <c r="B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2"/>
      <c r="U199" s="1"/>
    </row>
    <row r="200" spans="2:21" x14ac:dyDescent="0.25">
      <c r="B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2"/>
      <c r="U200" s="1"/>
    </row>
    <row r="201" spans="2:21" x14ac:dyDescent="0.25">
      <c r="B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2"/>
      <c r="U201" s="1"/>
    </row>
    <row r="202" spans="2:21" x14ac:dyDescent="0.25">
      <c r="B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2"/>
      <c r="U202" s="1"/>
    </row>
  </sheetData>
  <mergeCells count="8">
    <mergeCell ref="O6:P6"/>
    <mergeCell ref="Q6:R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02"/>
  <sheetViews>
    <sheetView tabSelected="1" zoomScale="75" zoomScaleNormal="75" zoomScalePageLayoutView="125" workbookViewId="0">
      <pane ySplit="17" topLeftCell="A24" activePane="bottomLeft" state="frozen"/>
      <selection pane="bottomLeft" activeCell="E42" sqref="E42"/>
    </sheetView>
  </sheetViews>
  <sheetFormatPr defaultColWidth="8.85546875" defaultRowHeight="15" x14ac:dyDescent="0.25"/>
  <cols>
    <col min="1" max="1" width="4.85546875" style="1" customWidth="1"/>
    <col min="2" max="2" width="51" style="1" customWidth="1"/>
    <col min="3" max="5" width="8.85546875" style="3" customWidth="1"/>
    <col min="6" max="18" width="8.85546875" style="3"/>
    <col min="19" max="19" width="8.85546875" style="13"/>
    <col min="20" max="20" width="10.140625" style="100" customWidth="1"/>
    <col min="21" max="21" width="8.85546875" style="3"/>
    <col min="22" max="23" width="8.85546875" style="1"/>
    <col min="24" max="24" width="14.7109375" style="1" customWidth="1"/>
    <col min="25" max="16384" width="8.85546875" style="1"/>
  </cols>
  <sheetData>
    <row r="1" spans="2:25" ht="15.75" thickBot="1" x14ac:dyDescent="0.3"/>
    <row r="2" spans="2:25" x14ac:dyDescent="0.25">
      <c r="B2" s="144" t="s">
        <v>68</v>
      </c>
    </row>
    <row r="3" spans="2:25" x14ac:dyDescent="0.25">
      <c r="B3" s="143" t="s">
        <v>121</v>
      </c>
    </row>
    <row r="4" spans="2:25" ht="18.75" x14ac:dyDescent="0.3">
      <c r="B4" s="74" t="s">
        <v>117</v>
      </c>
      <c r="J4" s="125" t="s">
        <v>106</v>
      </c>
    </row>
    <row r="5" spans="2:25" ht="15.75" thickBot="1" x14ac:dyDescent="0.3">
      <c r="B5" s="134" t="s">
        <v>114</v>
      </c>
    </row>
    <row r="6" spans="2:25" ht="15.75" thickBot="1" x14ac:dyDescent="0.3">
      <c r="B6" s="33"/>
      <c r="C6" s="165" t="s">
        <v>29</v>
      </c>
      <c r="D6" s="165"/>
      <c r="E6" s="165" t="s">
        <v>30</v>
      </c>
      <c r="F6" s="165"/>
      <c r="G6" s="165" t="s">
        <v>31</v>
      </c>
      <c r="H6" s="165"/>
      <c r="I6" s="165" t="s">
        <v>32</v>
      </c>
      <c r="J6" s="165"/>
      <c r="K6" s="165" t="s">
        <v>33</v>
      </c>
      <c r="L6" s="165"/>
      <c r="M6" s="165" t="s">
        <v>34</v>
      </c>
      <c r="N6" s="165"/>
      <c r="O6" s="165" t="s">
        <v>35</v>
      </c>
      <c r="P6" s="165"/>
      <c r="Q6" s="165" t="s">
        <v>105</v>
      </c>
      <c r="R6" s="165"/>
      <c r="S6" s="27"/>
    </row>
    <row r="7" spans="2:25" s="4" customFormat="1" x14ac:dyDescent="0.25">
      <c r="B7" s="51" t="s">
        <v>43</v>
      </c>
      <c r="C7" s="52">
        <f>C35</f>
        <v>0</v>
      </c>
      <c r="D7" s="52">
        <f t="shared" ref="D7:N7" si="0">D35</f>
        <v>0</v>
      </c>
      <c r="E7" s="52">
        <f t="shared" si="0"/>
        <v>0</v>
      </c>
      <c r="F7" s="52">
        <f t="shared" si="0"/>
        <v>0</v>
      </c>
      <c r="G7" s="52">
        <f t="shared" si="0"/>
        <v>0</v>
      </c>
      <c r="H7" s="52">
        <f t="shared" si="0"/>
        <v>0</v>
      </c>
      <c r="I7" s="52">
        <f t="shared" si="0"/>
        <v>0</v>
      </c>
      <c r="J7" s="52">
        <f t="shared" si="0"/>
        <v>0</v>
      </c>
      <c r="K7" s="52">
        <f t="shared" si="0"/>
        <v>0</v>
      </c>
      <c r="L7" s="52">
        <f t="shared" si="0"/>
        <v>0</v>
      </c>
      <c r="M7" s="52">
        <f t="shared" si="0"/>
        <v>0</v>
      </c>
      <c r="N7" s="52">
        <f t="shared" si="0"/>
        <v>0</v>
      </c>
      <c r="O7" s="52">
        <f>O35</f>
        <v>0</v>
      </c>
      <c r="P7" s="52">
        <f>P35</f>
        <v>0</v>
      </c>
      <c r="Q7" s="52">
        <f>Q35</f>
        <v>0</v>
      </c>
      <c r="R7" s="52">
        <f>R35</f>
        <v>0</v>
      </c>
      <c r="S7" s="105"/>
      <c r="T7" s="100"/>
      <c r="U7" s="119"/>
    </row>
    <row r="8" spans="2:25" s="4" customFormat="1" x14ac:dyDescent="0.25">
      <c r="B8" s="53" t="s">
        <v>44</v>
      </c>
      <c r="C8" s="54">
        <f>C58</f>
        <v>0</v>
      </c>
      <c r="D8" s="54">
        <f t="shared" ref="D8:N8" si="1">D58</f>
        <v>0</v>
      </c>
      <c r="E8" s="54">
        <f t="shared" si="1"/>
        <v>0</v>
      </c>
      <c r="F8" s="54">
        <f t="shared" si="1"/>
        <v>0</v>
      </c>
      <c r="G8" s="54">
        <f t="shared" si="1"/>
        <v>-12.286574529999996</v>
      </c>
      <c r="H8" s="54">
        <f t="shared" si="1"/>
        <v>0</v>
      </c>
      <c r="I8" s="54">
        <f t="shared" si="1"/>
        <v>0</v>
      </c>
      <c r="J8" s="54">
        <f t="shared" si="1"/>
        <v>0</v>
      </c>
      <c r="K8" s="54">
        <f t="shared" si="1"/>
        <v>0</v>
      </c>
      <c r="L8" s="54">
        <f t="shared" si="1"/>
        <v>0</v>
      </c>
      <c r="M8" s="54">
        <f t="shared" si="1"/>
        <v>0</v>
      </c>
      <c r="N8" s="54">
        <f t="shared" si="1"/>
        <v>0</v>
      </c>
      <c r="O8" s="54">
        <f>O58</f>
        <v>0</v>
      </c>
      <c r="P8" s="54">
        <f>P58</f>
        <v>0</v>
      </c>
      <c r="Q8" s="54">
        <f>Q58</f>
        <v>0</v>
      </c>
      <c r="R8" s="54">
        <f>R58</f>
        <v>0</v>
      </c>
      <c r="S8" s="105"/>
      <c r="T8" s="100"/>
      <c r="U8" s="119"/>
    </row>
    <row r="9" spans="2:25" s="4" customFormat="1" x14ac:dyDescent="0.25">
      <c r="B9" s="53" t="s">
        <v>45</v>
      </c>
      <c r="C9" s="54">
        <f>C77</f>
        <v>0</v>
      </c>
      <c r="D9" s="54">
        <f t="shared" ref="D9:N9" si="2">D77</f>
        <v>0</v>
      </c>
      <c r="E9" s="54">
        <f t="shared" si="2"/>
        <v>0</v>
      </c>
      <c r="F9" s="54">
        <f t="shared" si="2"/>
        <v>0</v>
      </c>
      <c r="G9" s="54">
        <f t="shared" si="2"/>
        <v>0</v>
      </c>
      <c r="H9" s="54">
        <f t="shared" si="2"/>
        <v>0</v>
      </c>
      <c r="I9" s="54">
        <f t="shared" si="2"/>
        <v>0</v>
      </c>
      <c r="J9" s="54">
        <f t="shared" si="2"/>
        <v>0</v>
      </c>
      <c r="K9" s="54">
        <f t="shared" si="2"/>
        <v>-4.2024541599999949</v>
      </c>
      <c r="L9" s="54">
        <f t="shared" si="2"/>
        <v>-5.9301550900000066</v>
      </c>
      <c r="M9" s="54">
        <f t="shared" si="2"/>
        <v>0</v>
      </c>
      <c r="N9" s="54">
        <f t="shared" si="2"/>
        <v>0</v>
      </c>
      <c r="O9" s="54">
        <f>O77</f>
        <v>0</v>
      </c>
      <c r="P9" s="54">
        <f>P77</f>
        <v>0</v>
      </c>
      <c r="Q9" s="54">
        <f>Q77</f>
        <v>0</v>
      </c>
      <c r="R9" s="54">
        <f>R77</f>
        <v>0</v>
      </c>
      <c r="S9" s="105"/>
      <c r="T9" s="100"/>
      <c r="U9" s="119"/>
    </row>
    <row r="10" spans="2:25" s="4" customFormat="1" x14ac:dyDescent="0.25">
      <c r="B10" s="53" t="s">
        <v>46</v>
      </c>
      <c r="C10" s="54">
        <f>C101</f>
        <v>0</v>
      </c>
      <c r="D10" s="54">
        <f t="shared" ref="D10:N10" si="3">D101</f>
        <v>0</v>
      </c>
      <c r="E10" s="54">
        <f t="shared" si="3"/>
        <v>0</v>
      </c>
      <c r="F10" s="54">
        <f t="shared" si="3"/>
        <v>0</v>
      </c>
      <c r="G10" s="54">
        <f t="shared" si="3"/>
        <v>0</v>
      </c>
      <c r="H10" s="54">
        <f t="shared" si="3"/>
        <v>0</v>
      </c>
      <c r="I10" s="54">
        <f t="shared" si="3"/>
        <v>0</v>
      </c>
      <c r="J10" s="54">
        <f t="shared" si="3"/>
        <v>0</v>
      </c>
      <c r="K10" s="54">
        <f t="shared" si="3"/>
        <v>0</v>
      </c>
      <c r="L10" s="54">
        <f t="shared" si="3"/>
        <v>0</v>
      </c>
      <c r="M10" s="54">
        <f t="shared" si="3"/>
        <v>0</v>
      </c>
      <c r="N10" s="54">
        <f t="shared" si="3"/>
        <v>0</v>
      </c>
      <c r="O10" s="54">
        <f>O101</f>
        <v>0</v>
      </c>
      <c r="P10" s="54">
        <f>P101</f>
        <v>0</v>
      </c>
      <c r="Q10" s="54">
        <f>Q101</f>
        <v>0</v>
      </c>
      <c r="R10" s="54">
        <f>R101</f>
        <v>0</v>
      </c>
      <c r="S10" s="105"/>
      <c r="T10" s="100"/>
      <c r="U10" s="119"/>
    </row>
    <row r="11" spans="2:25" s="4" customFormat="1" x14ac:dyDescent="0.25">
      <c r="B11" s="53" t="s">
        <v>47</v>
      </c>
      <c r="C11" s="54">
        <f>C122</f>
        <v>0</v>
      </c>
      <c r="D11" s="54">
        <f t="shared" ref="D11:N11" si="4">D122</f>
        <v>0</v>
      </c>
      <c r="E11" s="54">
        <f t="shared" si="4"/>
        <v>0</v>
      </c>
      <c r="F11" s="54">
        <f t="shared" si="4"/>
        <v>0</v>
      </c>
      <c r="G11" s="54">
        <f t="shared" si="4"/>
        <v>0</v>
      </c>
      <c r="H11" s="54">
        <f t="shared" si="4"/>
        <v>0</v>
      </c>
      <c r="I11" s="54">
        <f t="shared" si="4"/>
        <v>0</v>
      </c>
      <c r="J11" s="54">
        <f t="shared" si="4"/>
        <v>0</v>
      </c>
      <c r="K11" s="54">
        <f t="shared" si="4"/>
        <v>0</v>
      </c>
      <c r="L11" s="54">
        <f t="shared" si="4"/>
        <v>0</v>
      </c>
      <c r="M11" s="54">
        <f t="shared" si="4"/>
        <v>0</v>
      </c>
      <c r="N11" s="54">
        <f t="shared" si="4"/>
        <v>0</v>
      </c>
      <c r="O11" s="54">
        <f>O122</f>
        <v>0</v>
      </c>
      <c r="P11" s="54">
        <f>P122</f>
        <v>0</v>
      </c>
      <c r="Q11" s="54">
        <f>Q122</f>
        <v>0</v>
      </c>
      <c r="R11" s="54">
        <f>R122</f>
        <v>0</v>
      </c>
      <c r="S11" s="105"/>
      <c r="T11" s="100"/>
      <c r="U11" s="119"/>
    </row>
    <row r="12" spans="2:25" s="4" customFormat="1" x14ac:dyDescent="0.25">
      <c r="B12" s="53" t="s">
        <v>48</v>
      </c>
      <c r="C12" s="54">
        <f>C143</f>
        <v>0</v>
      </c>
      <c r="D12" s="54">
        <f t="shared" ref="D12:N12" si="5">D143</f>
        <v>0</v>
      </c>
      <c r="E12" s="54">
        <f t="shared" si="5"/>
        <v>0</v>
      </c>
      <c r="F12" s="54">
        <f t="shared" si="5"/>
        <v>0</v>
      </c>
      <c r="G12" s="54">
        <f t="shared" si="5"/>
        <v>-1.8415767709600175</v>
      </c>
      <c r="H12" s="54">
        <f t="shared" si="5"/>
        <v>0</v>
      </c>
      <c r="I12" s="54">
        <f t="shared" si="5"/>
        <v>0</v>
      </c>
      <c r="J12" s="54">
        <f t="shared" si="5"/>
        <v>0</v>
      </c>
      <c r="K12" s="54">
        <f t="shared" si="5"/>
        <v>0</v>
      </c>
      <c r="L12" s="54">
        <f t="shared" si="5"/>
        <v>0</v>
      </c>
      <c r="M12" s="54">
        <f t="shared" si="5"/>
        <v>0</v>
      </c>
      <c r="N12" s="54">
        <f t="shared" si="5"/>
        <v>0</v>
      </c>
      <c r="O12" s="54">
        <f>O143</f>
        <v>0</v>
      </c>
      <c r="P12" s="54">
        <f>P143</f>
        <v>0</v>
      </c>
      <c r="Q12" s="54">
        <f>Q143</f>
        <v>0</v>
      </c>
      <c r="R12" s="54">
        <f>R143</f>
        <v>0</v>
      </c>
      <c r="S12" s="105"/>
      <c r="T12" s="100"/>
      <c r="U12" s="119"/>
    </row>
    <row r="13" spans="2:25" s="4" customFormat="1" x14ac:dyDescent="0.25">
      <c r="B13" s="53" t="s">
        <v>70</v>
      </c>
      <c r="C13" s="54">
        <f>C164</f>
        <v>0</v>
      </c>
      <c r="D13" s="54">
        <f t="shared" ref="D13:N13" si="6">D164</f>
        <v>0</v>
      </c>
      <c r="E13" s="54">
        <f t="shared" si="6"/>
        <v>0</v>
      </c>
      <c r="F13" s="54">
        <f t="shared" si="6"/>
        <v>0</v>
      </c>
      <c r="G13" s="54">
        <f t="shared" si="6"/>
        <v>0</v>
      </c>
      <c r="H13" s="54">
        <f t="shared" si="6"/>
        <v>0</v>
      </c>
      <c r="I13" s="54">
        <f t="shared" si="6"/>
        <v>0</v>
      </c>
      <c r="J13" s="54">
        <f t="shared" si="6"/>
        <v>0</v>
      </c>
      <c r="K13" s="54">
        <f t="shared" si="6"/>
        <v>0</v>
      </c>
      <c r="L13" s="54">
        <f t="shared" si="6"/>
        <v>0</v>
      </c>
      <c r="M13" s="54">
        <f t="shared" si="6"/>
        <v>0</v>
      </c>
      <c r="N13" s="54">
        <f t="shared" si="6"/>
        <v>0</v>
      </c>
      <c r="O13" s="54">
        <f>O164</f>
        <v>0</v>
      </c>
      <c r="P13" s="54">
        <f>P164</f>
        <v>0</v>
      </c>
      <c r="Q13" s="54">
        <f>Q164</f>
        <v>0</v>
      </c>
      <c r="R13" s="54">
        <f>R164</f>
        <v>0</v>
      </c>
      <c r="S13" s="105"/>
      <c r="T13" s="100"/>
      <c r="U13" s="119"/>
    </row>
    <row r="14" spans="2:25" s="4" customFormat="1" ht="15.75" thickBot="1" x14ac:dyDescent="0.3">
      <c r="B14" s="55" t="s">
        <v>49</v>
      </c>
      <c r="C14" s="56">
        <f>C183</f>
        <v>0</v>
      </c>
      <c r="D14" s="56">
        <f t="shared" ref="D14:N14" si="7">D183</f>
        <v>0</v>
      </c>
      <c r="E14" s="56">
        <f t="shared" si="7"/>
        <v>0</v>
      </c>
      <c r="F14" s="56">
        <f t="shared" si="7"/>
        <v>0</v>
      </c>
      <c r="G14" s="56">
        <f t="shared" si="7"/>
        <v>0</v>
      </c>
      <c r="H14" s="56">
        <f t="shared" si="7"/>
        <v>0</v>
      </c>
      <c r="I14" s="56">
        <f t="shared" si="7"/>
        <v>0</v>
      </c>
      <c r="J14" s="56">
        <f t="shared" si="7"/>
        <v>0</v>
      </c>
      <c r="K14" s="56">
        <f t="shared" si="7"/>
        <v>-16.787363965684079</v>
      </c>
      <c r="L14" s="56">
        <f t="shared" si="7"/>
        <v>-15.940514730929152</v>
      </c>
      <c r="M14" s="56">
        <f t="shared" si="7"/>
        <v>0</v>
      </c>
      <c r="N14" s="56">
        <f t="shared" si="7"/>
        <v>0</v>
      </c>
      <c r="O14" s="56">
        <f>O183</f>
        <v>0</v>
      </c>
      <c r="P14" s="56">
        <f>P183</f>
        <v>0</v>
      </c>
      <c r="Q14" s="56">
        <f>Q183</f>
        <v>0</v>
      </c>
      <c r="R14" s="56">
        <f>R183</f>
        <v>0</v>
      </c>
      <c r="S14" s="105"/>
      <c r="T14" s="141" t="s">
        <v>130</v>
      </c>
      <c r="U14" s="31"/>
      <c r="V14" s="32"/>
      <c r="W14" s="32"/>
      <c r="X14" s="146">
        <f>SUM(U44,U111,U129)-(U41+U105+U126)</f>
        <v>25497.892500000005</v>
      </c>
      <c r="Y14" s="11" t="s">
        <v>127</v>
      </c>
    </row>
    <row r="15" spans="2:25" ht="15.75" thickBot="1" x14ac:dyDescent="0.3">
      <c r="T15" s="145" t="s">
        <v>129</v>
      </c>
      <c r="U15" s="147"/>
      <c r="V15" s="148"/>
      <c r="W15" s="148"/>
      <c r="X15" s="149">
        <f>SUM(X14)</f>
        <v>25497.892500000005</v>
      </c>
    </row>
    <row r="16" spans="2:25" s="4" customFormat="1" ht="15.75" thickBot="1" x14ac:dyDescent="0.3">
      <c r="B16" s="75" t="s">
        <v>107</v>
      </c>
      <c r="C16" s="45">
        <v>150</v>
      </c>
      <c r="D16" s="45">
        <v>150</v>
      </c>
      <c r="E16" s="45">
        <v>150</v>
      </c>
      <c r="F16" s="45">
        <v>150</v>
      </c>
      <c r="G16" s="45">
        <v>150</v>
      </c>
      <c r="H16" s="45">
        <v>100</v>
      </c>
      <c r="I16" s="45">
        <v>65</v>
      </c>
      <c r="J16" s="45">
        <v>65</v>
      </c>
      <c r="K16" s="45">
        <v>65</v>
      </c>
      <c r="L16" s="45">
        <v>65</v>
      </c>
      <c r="M16" s="45">
        <v>65</v>
      </c>
      <c r="N16" s="45">
        <v>65</v>
      </c>
      <c r="O16" s="45">
        <v>65</v>
      </c>
      <c r="P16" s="45">
        <v>65</v>
      </c>
      <c r="Q16" s="45">
        <v>65</v>
      </c>
      <c r="R16" s="45">
        <v>65</v>
      </c>
      <c r="S16" s="27"/>
      <c r="T16" s="150" t="s">
        <v>132</v>
      </c>
      <c r="U16" s="32"/>
      <c r="V16" s="32"/>
      <c r="W16" s="32"/>
      <c r="X16" s="151">
        <f>SUM(C7:R14)*15*1.9835</f>
        <v>-1695.554489213423</v>
      </c>
    </row>
    <row r="17" spans="2:21" s="28" customFormat="1" x14ac:dyDescent="0.25">
      <c r="B17" s="7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02"/>
      <c r="U17" s="27"/>
    </row>
    <row r="18" spans="2:21" s="4" customFormat="1" ht="15.75" thickBot="1" x14ac:dyDescent="0.3">
      <c r="B18" s="77" t="s">
        <v>50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101" t="str">
        <f>'50% Exceedance Baseline'!T18</f>
        <v>NOTES</v>
      </c>
      <c r="U18" s="119"/>
    </row>
    <row r="19" spans="2:21" s="11" customFormat="1" ht="15.75" thickBot="1" x14ac:dyDescent="0.3">
      <c r="B19" s="78" t="s">
        <v>5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121">
        <v>0</v>
      </c>
      <c r="R19" s="46">
        <v>0</v>
      </c>
      <c r="S19" s="105"/>
      <c r="T19" s="100" t="str">
        <f>'50% Exceedance Baseline'!T19</f>
        <v>Flow input above Mgt. Pt. 1</v>
      </c>
      <c r="U19" s="8"/>
    </row>
    <row r="20" spans="2:21" s="11" customFormat="1" x14ac:dyDescent="0.25">
      <c r="B20" s="79" t="s">
        <v>7</v>
      </c>
      <c r="C20" s="16">
        <f>IF(C34&gt;C33,((C34-C33)*-1),((C33-C34)))</f>
        <v>315.58645360000003</v>
      </c>
      <c r="D20" s="16">
        <f t="shared" ref="D20:E20" si="8">IF(D34&gt;D33,((D34-D33)*-1),((D33-D34)))</f>
        <v>250.7977975</v>
      </c>
      <c r="E20" s="16">
        <f t="shared" si="8"/>
        <v>234.0911236</v>
      </c>
      <c r="F20" s="16">
        <f>IF(F34&gt;F33,((F34-F33)*-1),((F33-F34)))</f>
        <v>105.40185410000001</v>
      </c>
      <c r="G20" s="16">
        <f>IF(G34&gt;G33,((G34-G33)*-1),((G33-G34)))</f>
        <v>72.051147100000009</v>
      </c>
      <c r="H20" s="16">
        <f t="shared" ref="H20:R20" si="9">IF(H34&gt;H33,((H34-H33)*-1),((H33-H34)))</f>
        <v>74.015495399999992</v>
      </c>
      <c r="I20" s="16">
        <f t="shared" si="9"/>
        <v>64.093295299999994</v>
      </c>
      <c r="J20" s="16">
        <f t="shared" si="9"/>
        <v>43.301793500000002</v>
      </c>
      <c r="K20" s="16">
        <f t="shared" si="9"/>
        <v>36.390017099999994</v>
      </c>
      <c r="L20" s="16">
        <f t="shared" si="9"/>
        <v>34.097356379999994</v>
      </c>
      <c r="M20" s="16">
        <f t="shared" si="9"/>
        <v>35.555049600000004</v>
      </c>
      <c r="N20" s="16">
        <f t="shared" si="9"/>
        <v>40.275458499999999</v>
      </c>
      <c r="O20" s="16">
        <f t="shared" si="9"/>
        <v>44.218186099999997</v>
      </c>
      <c r="P20" s="16">
        <f t="shared" si="9"/>
        <v>44.636585600000004</v>
      </c>
      <c r="Q20" s="16">
        <f t="shared" si="9"/>
        <v>49.726156500000002</v>
      </c>
      <c r="R20" s="14">
        <f t="shared" si="9"/>
        <v>64.693781599999994</v>
      </c>
      <c r="S20" s="18"/>
      <c r="T20" s="100" t="str">
        <f>'50% Exceedance Baseline'!T20</f>
        <v>Flow target surplus or deficit after input</v>
      </c>
      <c r="U20" s="8"/>
    </row>
    <row r="21" spans="2:21" s="11" customFormat="1" ht="15.75" thickBot="1" x14ac:dyDescent="0.3">
      <c r="B21" s="8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7"/>
      <c r="S21" s="18"/>
      <c r="T21" s="100"/>
      <c r="U21" s="8"/>
    </row>
    <row r="22" spans="2:21" ht="15.75" thickBot="1" x14ac:dyDescent="0.3">
      <c r="B22" s="73" t="s">
        <v>6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121">
        <v>0</v>
      </c>
      <c r="R22" s="46">
        <v>0</v>
      </c>
      <c r="S22" s="105"/>
      <c r="T22" s="100" t="str">
        <f>'50% Exceedance Baseline'!T22</f>
        <v>Flow input above Mgt. Pt. 1</v>
      </c>
    </row>
    <row r="23" spans="2:21" s="4" customFormat="1" x14ac:dyDescent="0.25">
      <c r="B23" s="79" t="s">
        <v>7</v>
      </c>
      <c r="C23" s="16">
        <f>IF(C34&gt;C33,((C34-C33)*-1),((C33-C34)))</f>
        <v>315.58645360000003</v>
      </c>
      <c r="D23" s="16">
        <f t="shared" ref="D23:R23" si="10">IF(D34&gt;D33,((D34-D33)*-1),((D33-D34)))</f>
        <v>250.7977975</v>
      </c>
      <c r="E23" s="16">
        <f t="shared" si="10"/>
        <v>234.0911236</v>
      </c>
      <c r="F23" s="16">
        <f t="shared" si="10"/>
        <v>105.40185410000001</v>
      </c>
      <c r="G23" s="16">
        <f t="shared" si="10"/>
        <v>72.051147100000009</v>
      </c>
      <c r="H23" s="16">
        <f t="shared" si="10"/>
        <v>74.015495399999992</v>
      </c>
      <c r="I23" s="16">
        <f t="shared" si="10"/>
        <v>64.093295299999994</v>
      </c>
      <c r="J23" s="16">
        <f t="shared" si="10"/>
        <v>43.301793500000002</v>
      </c>
      <c r="K23" s="16">
        <f t="shared" si="10"/>
        <v>36.390017099999994</v>
      </c>
      <c r="L23" s="16">
        <f t="shared" si="10"/>
        <v>34.097356379999994</v>
      </c>
      <c r="M23" s="16">
        <f t="shared" si="10"/>
        <v>35.555049600000004</v>
      </c>
      <c r="N23" s="16">
        <f t="shared" si="10"/>
        <v>40.275458499999999</v>
      </c>
      <c r="O23" s="16">
        <f t="shared" si="10"/>
        <v>44.218186099999997</v>
      </c>
      <c r="P23" s="16">
        <f t="shared" si="10"/>
        <v>44.636585600000004</v>
      </c>
      <c r="Q23" s="16">
        <f t="shared" si="10"/>
        <v>49.726156500000002</v>
      </c>
      <c r="R23" s="14">
        <f t="shared" si="10"/>
        <v>64.693781599999994</v>
      </c>
      <c r="S23" s="18"/>
      <c r="T23" s="100" t="str">
        <f>'50% Exceedance Baseline'!T23</f>
        <v>Flow target surplus or deficit after input</v>
      </c>
      <c r="U23" s="119"/>
    </row>
    <row r="24" spans="2:21" s="26" customFormat="1" ht="15.75" thickBot="1" x14ac:dyDescent="0.3">
      <c r="B24" s="8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7"/>
      <c r="S24" s="18"/>
      <c r="T24" s="100"/>
      <c r="U24" s="25"/>
    </row>
    <row r="25" spans="2:21" s="4" customFormat="1" ht="15.75" thickBot="1" x14ac:dyDescent="0.3">
      <c r="B25" s="73" t="s">
        <v>60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121">
        <v>0</v>
      </c>
      <c r="R25" s="46">
        <v>0</v>
      </c>
      <c r="S25" s="105"/>
      <c r="T25" s="100" t="str">
        <f>'50% Exceedance Baseline'!T25</f>
        <v>Flow input above Mgt. Pt. 1</v>
      </c>
      <c r="U25" s="119"/>
    </row>
    <row r="26" spans="2:21" s="4" customFormat="1" x14ac:dyDescent="0.25">
      <c r="B26" s="79" t="s">
        <v>7</v>
      </c>
      <c r="C26" s="16">
        <f>IF(C34&gt;C33,((C34-C33)*-1),((C33-C34)))</f>
        <v>315.58645360000003</v>
      </c>
      <c r="D26" s="16">
        <f t="shared" ref="D26:R26" si="11">IF(D34&gt;D33,((D34-D33)*-1),((D33-D34)))</f>
        <v>250.7977975</v>
      </c>
      <c r="E26" s="16">
        <f t="shared" si="11"/>
        <v>234.0911236</v>
      </c>
      <c r="F26" s="16">
        <f t="shared" si="11"/>
        <v>105.40185410000001</v>
      </c>
      <c r="G26" s="16">
        <f t="shared" si="11"/>
        <v>72.051147100000009</v>
      </c>
      <c r="H26" s="16">
        <f t="shared" si="11"/>
        <v>74.015495399999992</v>
      </c>
      <c r="I26" s="16">
        <f t="shared" si="11"/>
        <v>64.093295299999994</v>
      </c>
      <c r="J26" s="16">
        <f t="shared" si="11"/>
        <v>43.301793500000002</v>
      </c>
      <c r="K26" s="16">
        <f t="shared" si="11"/>
        <v>36.390017099999994</v>
      </c>
      <c r="L26" s="16">
        <f t="shared" si="11"/>
        <v>34.097356379999994</v>
      </c>
      <c r="M26" s="16">
        <f t="shared" si="11"/>
        <v>35.555049600000004</v>
      </c>
      <c r="N26" s="16">
        <f t="shared" si="11"/>
        <v>40.275458499999999</v>
      </c>
      <c r="O26" s="16">
        <f t="shared" si="11"/>
        <v>44.218186099999997</v>
      </c>
      <c r="P26" s="16">
        <f t="shared" si="11"/>
        <v>44.636585600000004</v>
      </c>
      <c r="Q26" s="16">
        <f t="shared" si="11"/>
        <v>49.726156500000002</v>
      </c>
      <c r="R26" s="14">
        <f t="shared" si="11"/>
        <v>64.693781599999994</v>
      </c>
      <c r="S26" s="18"/>
      <c r="T26" s="100" t="str">
        <f>'50% Exceedance Baseline'!T26</f>
        <v>Flow target surplus or deficit after input</v>
      </c>
      <c r="U26" s="119"/>
    </row>
    <row r="27" spans="2:21" s="4" customFormat="1" x14ac:dyDescent="0.25">
      <c r="B27" s="81" t="s">
        <v>19</v>
      </c>
      <c r="C27" s="18">
        <f t="shared" ref="C27:F27" si="12">SUM(C19+C22+C25)</f>
        <v>0</v>
      </c>
      <c r="D27" s="18">
        <f t="shared" si="12"/>
        <v>0</v>
      </c>
      <c r="E27" s="18">
        <f t="shared" si="12"/>
        <v>0</v>
      </c>
      <c r="F27" s="18">
        <f t="shared" si="12"/>
        <v>0</v>
      </c>
      <c r="G27" s="18">
        <f>SUM(G19+G22+G25)</f>
        <v>0</v>
      </c>
      <c r="H27" s="18">
        <f t="shared" ref="H27:N27" si="13">SUM(H19+H22+H25)</f>
        <v>0</v>
      </c>
      <c r="I27" s="18">
        <f t="shared" si="13"/>
        <v>0</v>
      </c>
      <c r="J27" s="18">
        <f t="shared" si="13"/>
        <v>0</v>
      </c>
      <c r="K27" s="18">
        <f t="shared" si="13"/>
        <v>0</v>
      </c>
      <c r="L27" s="18">
        <f t="shared" si="13"/>
        <v>0</v>
      </c>
      <c r="M27" s="18">
        <f t="shared" si="13"/>
        <v>0</v>
      </c>
      <c r="N27" s="18">
        <f t="shared" si="13"/>
        <v>0</v>
      </c>
      <c r="O27" s="18">
        <f>SUM(O19+O22+O25)</f>
        <v>0</v>
      </c>
      <c r="P27" s="18">
        <f>SUM(P19+P22+P25)</f>
        <v>0</v>
      </c>
      <c r="Q27" s="18">
        <f>SUM(Q19+Q22+Q25)</f>
        <v>0</v>
      </c>
      <c r="R27" s="17">
        <f>SUM(R19+R22+R25)</f>
        <v>0</v>
      </c>
      <c r="S27" s="18"/>
      <c r="T27" s="100" t="str">
        <f>'50% Exceedance Baseline'!T27</f>
        <v>Subtotal of all inputs in reach above Milton-Freewater</v>
      </c>
      <c r="U27" s="119"/>
    </row>
    <row r="28" spans="2:21" s="4" customFormat="1" ht="15.75" thickBot="1" x14ac:dyDescent="0.3">
      <c r="B28" s="8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7"/>
      <c r="S28" s="18"/>
      <c r="T28" s="100"/>
      <c r="U28" s="119"/>
    </row>
    <row r="29" spans="2:21" s="64" customFormat="1" ht="15.75" thickBot="1" x14ac:dyDescent="0.3">
      <c r="B29" s="70" t="s">
        <v>28</v>
      </c>
      <c r="C29" s="82">
        <f>'50% Exceedance Baseline'!C29</f>
        <v>0.113</v>
      </c>
      <c r="D29" s="82">
        <f>'50% Exceedance Baseline'!D29</f>
        <v>0.113</v>
      </c>
      <c r="E29" s="82">
        <f>'50% Exceedance Baseline'!E29</f>
        <v>0.113</v>
      </c>
      <c r="F29" s="82">
        <f>'50% Exceedance Baseline'!F29</f>
        <v>0.113</v>
      </c>
      <c r="G29" s="82">
        <f>'50% Exceedance Baseline'!G29</f>
        <v>0.113</v>
      </c>
      <c r="H29" s="82">
        <f>'50% Exceedance Baseline'!H29</f>
        <v>0.113</v>
      </c>
      <c r="I29" s="82">
        <f>'50% Exceedance Baseline'!I29</f>
        <v>8.6999999999999994E-2</v>
      </c>
      <c r="J29" s="82">
        <f>'50% Exceedance Baseline'!J29</f>
        <v>8.6999999999999994E-2</v>
      </c>
      <c r="K29" s="82">
        <f>'50% Exceedance Baseline'!K29</f>
        <v>0.20699999999999999</v>
      </c>
      <c r="L29" s="82">
        <f>'50% Exceedance Baseline'!L29</f>
        <v>0.20699999999999999</v>
      </c>
      <c r="M29" s="82">
        <f>'50% Exceedance Baseline'!M29</f>
        <v>0.12</v>
      </c>
      <c r="N29" s="82">
        <f>'50% Exceedance Baseline'!N29</f>
        <v>0.12</v>
      </c>
      <c r="O29" s="82">
        <f>'50% Exceedance Baseline'!O29</f>
        <v>0.26700000000000002</v>
      </c>
      <c r="P29" s="82">
        <f>'50% Exceedance Baseline'!P29</f>
        <v>0.26700000000000002</v>
      </c>
      <c r="Q29" s="69">
        <f>'50% Exceedance Baseline'!Q29</f>
        <v>-0.14099999999999999</v>
      </c>
      <c r="R29" s="69">
        <f>'50% Exceedance Baseline'!R29</f>
        <v>-0.14099999999999999</v>
      </c>
      <c r="S29" s="106"/>
      <c r="T29" s="100" t="str">
        <f>'50% Exceedance Baseline'!T29</f>
        <v>Percentage total inputs lost or gained due to streambed hydrology (2002-2015 WWBWC seepage data)</v>
      </c>
      <c r="U29" s="83"/>
    </row>
    <row r="30" spans="2:21" s="4" customFormat="1" x14ac:dyDescent="0.25">
      <c r="B30" s="84" t="s">
        <v>20</v>
      </c>
      <c r="C30" s="57">
        <f>SUM(C27)*(1+C29)</f>
        <v>0</v>
      </c>
      <c r="D30" s="57">
        <f t="shared" ref="D30:N30" si="14">SUM(D27)*(1+D29)</f>
        <v>0</v>
      </c>
      <c r="E30" s="57">
        <f t="shared" si="14"/>
        <v>0</v>
      </c>
      <c r="F30" s="57">
        <f t="shared" si="14"/>
        <v>0</v>
      </c>
      <c r="G30" s="57">
        <f t="shared" si="14"/>
        <v>0</v>
      </c>
      <c r="H30" s="57">
        <f t="shared" si="14"/>
        <v>0</v>
      </c>
      <c r="I30" s="57">
        <f t="shared" si="14"/>
        <v>0</v>
      </c>
      <c r="J30" s="57">
        <f t="shared" si="14"/>
        <v>0</v>
      </c>
      <c r="K30" s="57">
        <f t="shared" si="14"/>
        <v>0</v>
      </c>
      <c r="L30" s="57">
        <f t="shared" si="14"/>
        <v>0</v>
      </c>
      <c r="M30" s="57">
        <f t="shared" si="14"/>
        <v>0</v>
      </c>
      <c r="N30" s="57">
        <f t="shared" si="14"/>
        <v>0</v>
      </c>
      <c r="O30" s="57">
        <f>SUM(O27)*(1+O29)</f>
        <v>0</v>
      </c>
      <c r="P30" s="57">
        <f>SUM(P27)*(1+P29)</f>
        <v>0</v>
      </c>
      <c r="Q30" s="57">
        <f>SUM(Q27)*(1+Q29)</f>
        <v>0</v>
      </c>
      <c r="R30" s="58">
        <f>SUM(R27)*(1+R29)</f>
        <v>0</v>
      </c>
      <c r="S30" s="110"/>
      <c r="T30" s="100" t="str">
        <f>'50% Exceedance Baseline'!T30</f>
        <v>Total of all upstream input flow adjusted for streambed loss or gain</v>
      </c>
      <c r="U30" s="119"/>
    </row>
    <row r="31" spans="2:21" s="4" customFormat="1" ht="15.75" thickBot="1" x14ac:dyDescent="0.3">
      <c r="B31" s="7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110"/>
      <c r="T31" s="100"/>
      <c r="U31" s="119"/>
    </row>
    <row r="32" spans="2:21" ht="15.75" thickBot="1" x14ac:dyDescent="0.3">
      <c r="B32" s="24" t="s">
        <v>52</v>
      </c>
      <c r="C32" s="123">
        <f>'50% Exceedance Baseline'!C32</f>
        <v>465.58645360000003</v>
      </c>
      <c r="D32" s="123">
        <f>'50% Exceedance Baseline'!D32</f>
        <v>400.7977975</v>
      </c>
      <c r="E32" s="123">
        <f>'50% Exceedance Baseline'!E32</f>
        <v>384.0911236</v>
      </c>
      <c r="F32" s="123">
        <f>'50% Exceedance Baseline'!F32</f>
        <v>255.40185410000001</v>
      </c>
      <c r="G32" s="123">
        <f>'50% Exceedance Baseline'!G32</f>
        <v>222.05114710000001</v>
      </c>
      <c r="H32" s="123">
        <f>'50% Exceedance Baseline'!H32</f>
        <v>174.01549539999999</v>
      </c>
      <c r="I32" s="123">
        <f>'50% Exceedance Baseline'!I32</f>
        <v>129.09329529999999</v>
      </c>
      <c r="J32" s="123">
        <f>'50% Exceedance Baseline'!J32</f>
        <v>108.3017935</v>
      </c>
      <c r="K32" s="123">
        <f>'50% Exceedance Baseline'!K32</f>
        <v>101.39001709999999</v>
      </c>
      <c r="L32" s="123">
        <f>'50% Exceedance Baseline'!L32</f>
        <v>99.097356379999994</v>
      </c>
      <c r="M32" s="123">
        <f>'50% Exceedance Baseline'!M32</f>
        <v>100.5550496</v>
      </c>
      <c r="N32" s="123">
        <f>'50% Exceedance Baseline'!N32</f>
        <v>105.2754585</v>
      </c>
      <c r="O32" s="123">
        <f>'50% Exceedance Baseline'!O32</f>
        <v>109.2181861</v>
      </c>
      <c r="P32" s="123">
        <f>'50% Exceedance Baseline'!P32</f>
        <v>109.6365856</v>
      </c>
      <c r="Q32" s="123">
        <f>'50% Exceedance Baseline'!Q32</f>
        <v>114.7261565</v>
      </c>
      <c r="R32" s="123">
        <f>'50% Exceedance Baseline'!R32</f>
        <v>129.69378159999999</v>
      </c>
      <c r="S32" s="27"/>
      <c r="T32" s="100" t="str">
        <f>'50% Exceedance Baseline'!T32</f>
        <v>Median flow data at S-105 gage (2002-2016)</v>
      </c>
    </row>
    <row r="33" spans="2:26" x14ac:dyDescent="0.25">
      <c r="B33" s="47" t="s">
        <v>36</v>
      </c>
      <c r="C33" s="48">
        <f>C32+C30</f>
        <v>465.58645360000003</v>
      </c>
      <c r="D33" s="48">
        <f t="shared" ref="D33:N33" si="15">D32+D30</f>
        <v>400.7977975</v>
      </c>
      <c r="E33" s="48">
        <f t="shared" si="15"/>
        <v>384.0911236</v>
      </c>
      <c r="F33" s="48">
        <f t="shared" si="15"/>
        <v>255.40185410000001</v>
      </c>
      <c r="G33" s="48">
        <f t="shared" si="15"/>
        <v>222.05114710000001</v>
      </c>
      <c r="H33" s="48">
        <f t="shared" si="15"/>
        <v>174.01549539999999</v>
      </c>
      <c r="I33" s="48">
        <f t="shared" si="15"/>
        <v>129.09329529999999</v>
      </c>
      <c r="J33" s="48">
        <f t="shared" si="15"/>
        <v>108.3017935</v>
      </c>
      <c r="K33" s="48">
        <f t="shared" si="15"/>
        <v>101.39001709999999</v>
      </c>
      <c r="L33" s="48">
        <f t="shared" si="15"/>
        <v>99.097356379999994</v>
      </c>
      <c r="M33" s="48">
        <f t="shared" si="15"/>
        <v>100.5550496</v>
      </c>
      <c r="N33" s="48">
        <f t="shared" si="15"/>
        <v>105.2754585</v>
      </c>
      <c r="O33" s="48">
        <f>O32+O30</f>
        <v>109.2181861</v>
      </c>
      <c r="P33" s="48">
        <f>P32+P30</f>
        <v>109.6365856</v>
      </c>
      <c r="Q33" s="48">
        <f>Q32+Q30</f>
        <v>114.7261565</v>
      </c>
      <c r="R33" s="49">
        <f>R32+R30</f>
        <v>129.69378159999999</v>
      </c>
      <c r="S33" s="111"/>
      <c r="T33" s="100" t="str">
        <f>'50% Exceedance Baseline'!T33</f>
        <v>Flow gage data plus cumulative inputs adjusted for streambed loss or gain</v>
      </c>
    </row>
    <row r="34" spans="2:26" s="4" customFormat="1" x14ac:dyDescent="0.25">
      <c r="B34" s="10" t="s">
        <v>8</v>
      </c>
      <c r="C34" s="8">
        <f>$C$16</f>
        <v>150</v>
      </c>
      <c r="D34" s="8">
        <f>$D$16</f>
        <v>150</v>
      </c>
      <c r="E34" s="8">
        <f>$E$16</f>
        <v>150</v>
      </c>
      <c r="F34" s="8">
        <f>$F$16</f>
        <v>150</v>
      </c>
      <c r="G34" s="8">
        <f>$G$16</f>
        <v>150</v>
      </c>
      <c r="H34" s="8">
        <f>$H$16</f>
        <v>100</v>
      </c>
      <c r="I34" s="8">
        <f>$I$16</f>
        <v>65</v>
      </c>
      <c r="J34" s="8">
        <f>$J$16</f>
        <v>65</v>
      </c>
      <c r="K34" s="8">
        <f>$K$16</f>
        <v>65</v>
      </c>
      <c r="L34" s="8">
        <f>$L$16</f>
        <v>65</v>
      </c>
      <c r="M34" s="8">
        <f>$M$16</f>
        <v>65</v>
      </c>
      <c r="N34" s="8">
        <f>$N$16</f>
        <v>65</v>
      </c>
      <c r="O34" s="8">
        <f>$O$16</f>
        <v>65</v>
      </c>
      <c r="P34" s="8">
        <f>$P$16</f>
        <v>65</v>
      </c>
      <c r="Q34" s="8">
        <f>$Q$16</f>
        <v>65</v>
      </c>
      <c r="R34" s="9">
        <f>$R$16</f>
        <v>65</v>
      </c>
      <c r="S34" s="112"/>
      <c r="T34" s="100" t="str">
        <f>'50% Exceedance Baseline'!T34</f>
        <v>Target flows</v>
      </c>
      <c r="U34" s="119"/>
    </row>
    <row r="35" spans="2:26" s="4" customFormat="1" ht="15.75" thickBot="1" x14ac:dyDescent="0.3">
      <c r="B35" s="37" t="s">
        <v>9</v>
      </c>
      <c r="C35" s="38">
        <f>IF(C33&gt;C34,0,(C34-C33)*-1)</f>
        <v>0</v>
      </c>
      <c r="D35" s="38">
        <f t="shared" ref="D35:N35" si="16">IF(D33&gt;D34,0,(D34-D33)*-1)</f>
        <v>0</v>
      </c>
      <c r="E35" s="38">
        <f t="shared" si="16"/>
        <v>0</v>
      </c>
      <c r="F35" s="38">
        <f t="shared" si="16"/>
        <v>0</v>
      </c>
      <c r="G35" s="38">
        <f t="shared" si="16"/>
        <v>0</v>
      </c>
      <c r="H35" s="38">
        <f t="shared" si="16"/>
        <v>0</v>
      </c>
      <c r="I35" s="38">
        <f t="shared" si="16"/>
        <v>0</v>
      </c>
      <c r="J35" s="38">
        <f t="shared" si="16"/>
        <v>0</v>
      </c>
      <c r="K35" s="38">
        <f t="shared" si="16"/>
        <v>0</v>
      </c>
      <c r="L35" s="38">
        <f t="shared" si="16"/>
        <v>0</v>
      </c>
      <c r="M35" s="38">
        <f t="shared" si="16"/>
        <v>0</v>
      </c>
      <c r="N35" s="38">
        <f t="shared" si="16"/>
        <v>0</v>
      </c>
      <c r="O35" s="38">
        <f>IF(O33&gt;O34,0,(O34-O33)*-1)</f>
        <v>0</v>
      </c>
      <c r="P35" s="38">
        <f>IF(P33&gt;P34,0,(P34-P33)*-1)</f>
        <v>0</v>
      </c>
      <c r="Q35" s="38">
        <f>IF(Q33&gt;Q34,0,(Q34-Q33)*-1)</f>
        <v>0</v>
      </c>
      <c r="R35" s="39">
        <f>IF(R33&gt;R34,0,(R34-R33)*-1)</f>
        <v>0</v>
      </c>
      <c r="S35" s="105"/>
      <c r="T35" s="100" t="str">
        <f>'50% Exceedance Baseline'!T35</f>
        <v>Deficit between target flows and flow gage data plus total adjusted inputs</v>
      </c>
      <c r="U35" s="119"/>
    </row>
    <row r="36" spans="2:26" s="4" customFormat="1" x14ac:dyDescent="0.25">
      <c r="B36" s="3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18"/>
      <c r="T36" s="100"/>
      <c r="U36" s="119"/>
    </row>
    <row r="37" spans="2:26" s="4" customFormat="1" x14ac:dyDescent="0.25">
      <c r="B37" s="85" t="s">
        <v>1</v>
      </c>
      <c r="C37" s="8">
        <f>'50% Exceedance Baseline'!C37</f>
        <v>87</v>
      </c>
      <c r="D37" s="8">
        <f>'50% Exceedance Baseline'!D37</f>
        <v>92</v>
      </c>
      <c r="E37" s="8">
        <f>'50% Exceedance Baseline'!E37</f>
        <v>97</v>
      </c>
      <c r="F37" s="8">
        <f>'50% Exceedance Baseline'!F37</f>
        <v>101</v>
      </c>
      <c r="G37" s="8">
        <f>'50% Exceedance Baseline'!G37</f>
        <v>103</v>
      </c>
      <c r="H37" s="8">
        <f>'50% Exceedance Baseline'!H37</f>
        <v>100</v>
      </c>
      <c r="I37" s="8">
        <f>'50% Exceedance Baseline'!I37</f>
        <v>85</v>
      </c>
      <c r="J37" s="8">
        <f>'50% Exceedance Baseline'!J37</f>
        <v>68</v>
      </c>
      <c r="K37" s="8">
        <f>'50% Exceedance Baseline'!K37</f>
        <v>59</v>
      </c>
      <c r="L37" s="8">
        <f>'50% Exceedance Baseline'!L37</f>
        <v>60</v>
      </c>
      <c r="M37" s="8">
        <f>'50% Exceedance Baseline'!M37</f>
        <v>62</v>
      </c>
      <c r="N37" s="8">
        <f>'50% Exceedance Baseline'!N37</f>
        <v>64</v>
      </c>
      <c r="O37" s="8">
        <f>'50% Exceedance Baseline'!O37</f>
        <v>69</v>
      </c>
      <c r="P37" s="8">
        <f>'50% Exceedance Baseline'!P37</f>
        <v>70</v>
      </c>
      <c r="Q37" s="8">
        <f>'50% Exceedance Baseline'!Q37</f>
        <v>60</v>
      </c>
      <c r="R37" s="8">
        <f>'50% Exceedance Baseline'!R37</f>
        <v>60</v>
      </c>
      <c r="S37" s="112"/>
      <c r="T37" s="100"/>
      <c r="U37" s="119"/>
    </row>
    <row r="38" spans="2:26" s="4" customFormat="1" x14ac:dyDescent="0.25">
      <c r="B38" s="85" t="s">
        <v>0</v>
      </c>
      <c r="C38" s="8">
        <f>'50% Exceedance Baseline'!C38</f>
        <v>5</v>
      </c>
      <c r="D38" s="8">
        <f>'50% Exceedance Baseline'!D38</f>
        <v>5</v>
      </c>
      <c r="E38" s="8">
        <f>'50% Exceedance Baseline'!E38</f>
        <v>5</v>
      </c>
      <c r="F38" s="8">
        <f>'50% Exceedance Baseline'!F38</f>
        <v>5</v>
      </c>
      <c r="G38" s="8">
        <f>'50% Exceedance Baseline'!G38</f>
        <v>5</v>
      </c>
      <c r="H38" s="8">
        <f>'50% Exceedance Baseline'!H38</f>
        <v>5</v>
      </c>
      <c r="I38" s="8">
        <f>'50% Exceedance Baseline'!I38</f>
        <v>5</v>
      </c>
      <c r="J38" s="8">
        <f>'50% Exceedance Baseline'!J38</f>
        <v>5</v>
      </c>
      <c r="K38" s="8">
        <f>'50% Exceedance Baseline'!K38</f>
        <v>5</v>
      </c>
      <c r="L38" s="8">
        <f>'50% Exceedance Baseline'!L38</f>
        <v>5</v>
      </c>
      <c r="M38" s="8">
        <f>'50% Exceedance Baseline'!M38</f>
        <v>5</v>
      </c>
      <c r="N38" s="8">
        <f>'50% Exceedance Baseline'!N38</f>
        <v>5</v>
      </c>
      <c r="O38" s="8">
        <f>'50% Exceedance Baseline'!O38</f>
        <v>5</v>
      </c>
      <c r="P38" s="8">
        <f>'50% Exceedance Baseline'!P38</f>
        <v>5</v>
      </c>
      <c r="Q38" s="8">
        <f>'50% Exceedance Baseline'!Q38</f>
        <v>0</v>
      </c>
      <c r="R38" s="8">
        <f>'50% Exceedance Baseline'!R38</f>
        <v>0</v>
      </c>
      <c r="S38" s="112"/>
      <c r="T38" s="100"/>
      <c r="U38" s="119"/>
    </row>
    <row r="39" spans="2:26" s="4" customFormat="1" x14ac:dyDescent="0.25">
      <c r="B39" s="86" t="s">
        <v>4</v>
      </c>
      <c r="C39" s="8">
        <f>C37+C38</f>
        <v>92</v>
      </c>
      <c r="D39" s="8">
        <f t="shared" ref="D39:N39" si="17">D37+D38</f>
        <v>97</v>
      </c>
      <c r="E39" s="8">
        <f t="shared" si="17"/>
        <v>102</v>
      </c>
      <c r="F39" s="8">
        <f t="shared" si="17"/>
        <v>106</v>
      </c>
      <c r="G39" s="8">
        <f t="shared" si="17"/>
        <v>108</v>
      </c>
      <c r="H39" s="8">
        <f t="shared" si="17"/>
        <v>105</v>
      </c>
      <c r="I39" s="8">
        <f t="shared" si="17"/>
        <v>90</v>
      </c>
      <c r="J39" s="8">
        <f t="shared" si="17"/>
        <v>73</v>
      </c>
      <c r="K39" s="8">
        <f t="shared" si="17"/>
        <v>64</v>
      </c>
      <c r="L39" s="8">
        <f t="shared" si="17"/>
        <v>65</v>
      </c>
      <c r="M39" s="8">
        <f t="shared" si="17"/>
        <v>67</v>
      </c>
      <c r="N39" s="8">
        <f t="shared" si="17"/>
        <v>69</v>
      </c>
      <c r="O39" s="8">
        <f>O37+O38</f>
        <v>74</v>
      </c>
      <c r="P39" s="8">
        <f>P37+P38</f>
        <v>75</v>
      </c>
      <c r="Q39" s="8">
        <f>Q37+Q38</f>
        <v>60</v>
      </c>
      <c r="R39" s="8">
        <f>R37+R38</f>
        <v>60</v>
      </c>
      <c r="S39" s="112"/>
      <c r="T39" s="100"/>
      <c r="U39" s="119"/>
    </row>
    <row r="40" spans="2:26" s="4" customFormat="1" x14ac:dyDescent="0.25">
      <c r="B40" s="8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12"/>
      <c r="T40" s="100"/>
      <c r="U40" s="119"/>
    </row>
    <row r="41" spans="2:26" ht="15.75" thickBot="1" x14ac:dyDescent="0.3">
      <c r="B41" s="59" t="s">
        <v>64</v>
      </c>
      <c r="C41" s="3">
        <f>IF(C42&gt;0,10,0)</f>
        <v>0</v>
      </c>
      <c r="D41" s="3">
        <f t="shared" ref="D41:J41" si="18">IF(D42&gt;0,10,0)</f>
        <v>0</v>
      </c>
      <c r="E41" s="3">
        <f t="shared" si="18"/>
        <v>0</v>
      </c>
      <c r="F41" s="3">
        <f t="shared" si="18"/>
        <v>10</v>
      </c>
      <c r="G41" s="3">
        <f t="shared" si="18"/>
        <v>10</v>
      </c>
      <c r="H41" s="3">
        <f t="shared" si="18"/>
        <v>10</v>
      </c>
      <c r="I41" s="3">
        <f t="shared" si="18"/>
        <v>10</v>
      </c>
      <c r="J41" s="3">
        <f t="shared" si="18"/>
        <v>10</v>
      </c>
      <c r="K41" s="3">
        <f>IF(K42&gt;0,7,0)</f>
        <v>7</v>
      </c>
      <c r="L41" s="3">
        <f t="shared" ref="L41:R41" si="19">IF(L42&gt;0,7,0)</f>
        <v>7</v>
      </c>
      <c r="M41" s="3">
        <f t="shared" si="19"/>
        <v>7</v>
      </c>
      <c r="N41" s="3">
        <f t="shared" si="19"/>
        <v>7</v>
      </c>
      <c r="O41" s="3">
        <f t="shared" si="19"/>
        <v>7</v>
      </c>
      <c r="P41" s="3">
        <f t="shared" si="19"/>
        <v>7</v>
      </c>
      <c r="Q41" s="3">
        <f t="shared" si="19"/>
        <v>7</v>
      </c>
      <c r="R41" s="3">
        <f t="shared" si="19"/>
        <v>7</v>
      </c>
      <c r="T41" s="101" t="s">
        <v>118</v>
      </c>
      <c r="U41" s="139">
        <f>SUM(C41:R41)*15*1.9835</f>
        <v>3153.7649999999999</v>
      </c>
      <c r="V41" s="11" t="s">
        <v>123</v>
      </c>
      <c r="W41" s="11"/>
      <c r="X41" s="11"/>
      <c r="Y41" s="11"/>
    </row>
    <row r="42" spans="2:26" s="30" customFormat="1" ht="15.75" thickBot="1" x14ac:dyDescent="0.3">
      <c r="B42" s="72" t="s">
        <v>111</v>
      </c>
      <c r="C42" s="46">
        <v>0</v>
      </c>
      <c r="D42" s="46">
        <v>0</v>
      </c>
      <c r="E42" s="46">
        <v>0</v>
      </c>
      <c r="F42" s="46">
        <v>41</v>
      </c>
      <c r="G42" s="46">
        <v>108</v>
      </c>
      <c r="H42" s="46">
        <v>85</v>
      </c>
      <c r="I42" s="46">
        <v>71</v>
      </c>
      <c r="J42" s="46">
        <v>70</v>
      </c>
      <c r="K42" s="46">
        <v>64</v>
      </c>
      <c r="L42" s="46">
        <v>65</v>
      </c>
      <c r="M42" s="46">
        <v>67</v>
      </c>
      <c r="N42" s="46">
        <v>68</v>
      </c>
      <c r="O42" s="46">
        <v>50</v>
      </c>
      <c r="P42" s="46">
        <v>52</v>
      </c>
      <c r="Q42" s="46">
        <v>38</v>
      </c>
      <c r="R42" s="46">
        <v>27</v>
      </c>
      <c r="S42" s="105"/>
      <c r="T42" s="100" t="str">
        <f>'50% Exceedance Baseline'!T42</f>
        <v>Flow input between Mgt. Pt. 1 and Mgt. Pt. 2</v>
      </c>
      <c r="U42" s="29"/>
    </row>
    <row r="43" spans="2:26" s="128" customFormat="1" x14ac:dyDescent="0.25">
      <c r="B43" s="79" t="s">
        <v>7</v>
      </c>
      <c r="C43" s="16">
        <f>IF(C57&gt;C56,((C57-C56)*-1),((C56-C57)))</f>
        <v>129.75</v>
      </c>
      <c r="D43" s="16">
        <f t="shared" ref="D43:E43" si="20">IF(D57&gt;D56,((D57-D56)*-1),((D56-D57)))</f>
        <v>77.25</v>
      </c>
      <c r="E43" s="16">
        <f t="shared" si="20"/>
        <v>61.5</v>
      </c>
      <c r="F43" s="16">
        <f>IF(F57&gt;F56,((F57-F56)*-1),((F56-F57)))</f>
        <v>0.28999999999999204</v>
      </c>
      <c r="G43" s="16">
        <f>IF(G57&gt;G56,((G57-G56)*-1),((G56-G57)))</f>
        <v>-12.286574529999996</v>
      </c>
      <c r="H43" s="16">
        <f t="shared" ref="H43:R43" si="21">IF(H57&gt;H56,((H57-H56)*-1),((H56-H57)))</f>
        <v>16.414954629999983</v>
      </c>
      <c r="I43" s="16">
        <f t="shared" si="21"/>
        <v>27.687835520000007</v>
      </c>
      <c r="J43" s="16">
        <f t="shared" si="21"/>
        <v>27.062286459999996</v>
      </c>
      <c r="K43" s="16">
        <f t="shared" si="21"/>
        <v>24.851497109999997</v>
      </c>
      <c r="L43" s="16">
        <f t="shared" si="21"/>
        <v>24.421113109999993</v>
      </c>
      <c r="M43" s="16">
        <f t="shared" si="21"/>
        <v>25.962395839999999</v>
      </c>
      <c r="N43" s="16">
        <f t="shared" si="21"/>
        <v>24.584833339999989</v>
      </c>
      <c r="O43" s="16">
        <f t="shared" si="21"/>
        <v>18.97338542</v>
      </c>
      <c r="P43" s="16">
        <f t="shared" si="21"/>
        <v>25.380871490000004</v>
      </c>
      <c r="Q43" s="16">
        <f t="shared" si="21"/>
        <v>20.230371560000009</v>
      </c>
      <c r="R43" s="14">
        <f t="shared" si="21"/>
        <v>27.957124999999991</v>
      </c>
      <c r="S43" s="18"/>
      <c r="T43" s="100" t="str">
        <f>'50% Exceedance Baseline'!T43</f>
        <v>Flow target surplus or deficit after input</v>
      </c>
      <c r="U43" s="127"/>
      <c r="Z43" s="129"/>
    </row>
    <row r="44" spans="2:26" s="5" customFormat="1" ht="15.75" thickBot="1" x14ac:dyDescent="0.3">
      <c r="B44" s="135" t="s">
        <v>115</v>
      </c>
      <c r="C44" s="136">
        <f t="shared" ref="C44:R44" si="22">C42*15*1.9835</f>
        <v>0</v>
      </c>
      <c r="D44" s="136">
        <f t="shared" si="22"/>
        <v>0</v>
      </c>
      <c r="E44" s="136">
        <f t="shared" si="22"/>
        <v>0</v>
      </c>
      <c r="F44" s="136">
        <f>F42*15*1.9835</f>
        <v>1219.8525</v>
      </c>
      <c r="G44" s="136">
        <f>G42*15*1.9835</f>
        <v>3213.27</v>
      </c>
      <c r="H44" s="136">
        <f t="shared" si="22"/>
        <v>2528.9625000000001</v>
      </c>
      <c r="I44" s="136">
        <f t="shared" si="22"/>
        <v>2112.4275000000002</v>
      </c>
      <c r="J44" s="136">
        <f t="shared" si="22"/>
        <v>2082.6750000000002</v>
      </c>
      <c r="K44" s="136">
        <f t="shared" si="22"/>
        <v>1904.16</v>
      </c>
      <c r="L44" s="136">
        <f t="shared" si="22"/>
        <v>1933.9125000000001</v>
      </c>
      <c r="M44" s="136">
        <f t="shared" si="22"/>
        <v>1993.4175</v>
      </c>
      <c r="N44" s="136">
        <f t="shared" si="22"/>
        <v>2023.17</v>
      </c>
      <c r="O44" s="136">
        <f t="shared" si="22"/>
        <v>1487.625</v>
      </c>
      <c r="P44" s="136">
        <f t="shared" si="22"/>
        <v>1547.13</v>
      </c>
      <c r="Q44" s="136">
        <f t="shared" si="22"/>
        <v>1130.595</v>
      </c>
      <c r="R44" s="137">
        <f t="shared" si="22"/>
        <v>803.3175</v>
      </c>
      <c r="S44" s="18"/>
      <c r="T44" s="101" t="s">
        <v>118</v>
      </c>
      <c r="U44" s="139">
        <f>SUM(C44:R44)</f>
        <v>23980.515000000007</v>
      </c>
    </row>
    <row r="45" spans="2:26" ht="15.75" thickBot="1" x14ac:dyDescent="0.3">
      <c r="B45" s="73" t="s">
        <v>6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121">
        <v>0</v>
      </c>
      <c r="R45" s="46">
        <v>0</v>
      </c>
      <c r="S45" s="105"/>
      <c r="T45" s="100" t="str">
        <f>'50% Exceedance Baseline'!T45</f>
        <v>Flow input between Mgt. Pt. 1 and Mgt. Pt. 2</v>
      </c>
    </row>
    <row r="46" spans="2:26" s="12" customFormat="1" x14ac:dyDescent="0.25">
      <c r="B46" s="79" t="s">
        <v>7</v>
      </c>
      <c r="C46" s="16">
        <f>IF(C57&gt;C56,((C57-C56)*-1),((C56-C57)))</f>
        <v>129.75</v>
      </c>
      <c r="D46" s="16">
        <f t="shared" ref="D46:R46" si="23">IF(D57&gt;D56,((D57-D56)*-1),((D56-D57)))</f>
        <v>77.25</v>
      </c>
      <c r="E46" s="16">
        <f t="shared" si="23"/>
        <v>61.5</v>
      </c>
      <c r="F46" s="16">
        <f t="shared" si="23"/>
        <v>0.28999999999999204</v>
      </c>
      <c r="G46" s="16">
        <f t="shared" si="23"/>
        <v>-12.286574529999996</v>
      </c>
      <c r="H46" s="16">
        <f t="shared" si="23"/>
        <v>16.414954629999983</v>
      </c>
      <c r="I46" s="16">
        <f t="shared" si="23"/>
        <v>27.687835520000007</v>
      </c>
      <c r="J46" s="16">
        <f t="shared" si="23"/>
        <v>27.062286459999996</v>
      </c>
      <c r="K46" s="16">
        <f t="shared" si="23"/>
        <v>24.851497109999997</v>
      </c>
      <c r="L46" s="16">
        <f t="shared" si="23"/>
        <v>24.421113109999993</v>
      </c>
      <c r="M46" s="16">
        <f t="shared" si="23"/>
        <v>25.962395839999999</v>
      </c>
      <c r="N46" s="16">
        <f t="shared" si="23"/>
        <v>24.584833339999989</v>
      </c>
      <c r="O46" s="16">
        <f t="shared" si="23"/>
        <v>18.97338542</v>
      </c>
      <c r="P46" s="16">
        <f t="shared" si="23"/>
        <v>25.380871490000004</v>
      </c>
      <c r="Q46" s="16">
        <f t="shared" si="23"/>
        <v>20.230371560000009</v>
      </c>
      <c r="R46" s="14">
        <f t="shared" si="23"/>
        <v>27.957124999999991</v>
      </c>
      <c r="S46" s="18"/>
      <c r="T46" s="100" t="str">
        <f>'50% Exceedance Baseline'!T46</f>
        <v>Flow target surplus or deficit after input</v>
      </c>
      <c r="U46" s="13"/>
    </row>
    <row r="47" spans="2:26" s="12" customFormat="1" ht="15.75" thickBot="1" x14ac:dyDescent="0.3">
      <c r="B47" s="8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7"/>
      <c r="S47" s="18"/>
      <c r="T47" s="100"/>
      <c r="U47" s="13"/>
    </row>
    <row r="48" spans="2:26" ht="15.75" thickBot="1" x14ac:dyDescent="0.3">
      <c r="B48" s="73" t="s">
        <v>60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121">
        <v>0</v>
      </c>
      <c r="R48" s="46">
        <v>0</v>
      </c>
      <c r="S48" s="105"/>
      <c r="T48" s="100" t="str">
        <f>'50% Exceedance Baseline'!T48</f>
        <v>Flow input between Mgt. Pt. 1 and Mgt. Pt. 2</v>
      </c>
    </row>
    <row r="49" spans="2:21" x14ac:dyDescent="0.25">
      <c r="B49" s="79" t="s">
        <v>7</v>
      </c>
      <c r="C49" s="16">
        <f>IF(C57&gt;C56,((C57-C56)*-1),((C56-C57)))</f>
        <v>129.75</v>
      </c>
      <c r="D49" s="16">
        <f t="shared" ref="D49:R49" si="24">IF(D57&gt;D56,((D57-D56)*-1),((D56-D57)))</f>
        <v>77.25</v>
      </c>
      <c r="E49" s="16">
        <f t="shared" si="24"/>
        <v>61.5</v>
      </c>
      <c r="F49" s="16">
        <f t="shared" si="24"/>
        <v>0.28999999999999204</v>
      </c>
      <c r="G49" s="16">
        <f t="shared" si="24"/>
        <v>-12.286574529999996</v>
      </c>
      <c r="H49" s="16">
        <f t="shared" si="24"/>
        <v>16.414954629999983</v>
      </c>
      <c r="I49" s="16">
        <f t="shared" si="24"/>
        <v>27.687835520000007</v>
      </c>
      <c r="J49" s="16">
        <f t="shared" si="24"/>
        <v>27.062286459999996</v>
      </c>
      <c r="K49" s="16">
        <f t="shared" si="24"/>
        <v>24.851497109999997</v>
      </c>
      <c r="L49" s="16">
        <f t="shared" si="24"/>
        <v>24.421113109999993</v>
      </c>
      <c r="M49" s="16">
        <f t="shared" si="24"/>
        <v>25.962395839999999</v>
      </c>
      <c r="N49" s="16">
        <f t="shared" si="24"/>
        <v>24.584833339999989</v>
      </c>
      <c r="O49" s="16">
        <f t="shared" si="24"/>
        <v>18.97338542</v>
      </c>
      <c r="P49" s="16">
        <f t="shared" si="24"/>
        <v>25.380871490000004</v>
      </c>
      <c r="Q49" s="16">
        <f t="shared" si="24"/>
        <v>20.230371560000009</v>
      </c>
      <c r="R49" s="14">
        <f t="shared" si="24"/>
        <v>27.957124999999991</v>
      </c>
      <c r="S49" s="18"/>
      <c r="T49" s="100" t="str">
        <f>'50% Exceedance Baseline'!T49</f>
        <v>Flow target surplus or deficit after input</v>
      </c>
    </row>
    <row r="50" spans="2:21" x14ac:dyDescent="0.25">
      <c r="B50" s="81" t="s">
        <v>21</v>
      </c>
      <c r="C50" s="18">
        <f t="shared" ref="C50:N50" si="25">SUM(C42+C45+C48)</f>
        <v>0</v>
      </c>
      <c r="D50" s="18">
        <f t="shared" si="25"/>
        <v>0</v>
      </c>
      <c r="E50" s="18">
        <f t="shared" si="25"/>
        <v>0</v>
      </c>
      <c r="F50" s="18">
        <f t="shared" si="25"/>
        <v>41</v>
      </c>
      <c r="G50" s="18">
        <f>SUM(G42+G45+G48)</f>
        <v>108</v>
      </c>
      <c r="H50" s="18">
        <f t="shared" si="25"/>
        <v>85</v>
      </c>
      <c r="I50" s="18">
        <f t="shared" si="25"/>
        <v>71</v>
      </c>
      <c r="J50" s="18">
        <f t="shared" si="25"/>
        <v>70</v>
      </c>
      <c r="K50" s="18">
        <f t="shared" si="25"/>
        <v>64</v>
      </c>
      <c r="L50" s="18">
        <f t="shared" si="25"/>
        <v>65</v>
      </c>
      <c r="M50" s="18">
        <f t="shared" si="25"/>
        <v>67</v>
      </c>
      <c r="N50" s="18">
        <f t="shared" si="25"/>
        <v>68</v>
      </c>
      <c r="O50" s="18">
        <f>SUM(O42+O45+O48)</f>
        <v>50</v>
      </c>
      <c r="P50" s="18">
        <f>SUM(P42+P45+P48)</f>
        <v>52</v>
      </c>
      <c r="Q50" s="18">
        <f>SUM(Q42+Q45+Q48)</f>
        <v>38</v>
      </c>
      <c r="R50" s="17">
        <f>SUM(R42+R45+R48)</f>
        <v>27</v>
      </c>
      <c r="S50" s="18"/>
      <c r="T50" s="100" t="str">
        <f>'50% Exceedance Baseline'!T50</f>
        <v>Subtotal of all inputs in Milton-Freewater to Nursery Bridge reach</v>
      </c>
    </row>
    <row r="51" spans="2:21" ht="15.75" thickBot="1" x14ac:dyDescent="0.3">
      <c r="B51" s="80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7"/>
      <c r="S51" s="18"/>
    </row>
    <row r="52" spans="2:21" s="64" customFormat="1" ht="15.75" thickBot="1" x14ac:dyDescent="0.3">
      <c r="B52" s="70" t="s">
        <v>69</v>
      </c>
      <c r="C52" s="69">
        <f>'50% Exceedance Baseline'!C52</f>
        <v>-0.06</v>
      </c>
      <c r="D52" s="69">
        <f>'50% Exceedance Baseline'!D52</f>
        <v>-0.06</v>
      </c>
      <c r="E52" s="69">
        <f>'50% Exceedance Baseline'!E52</f>
        <v>-0.06</v>
      </c>
      <c r="F52" s="69">
        <f>'50% Exceedance Baseline'!F52</f>
        <v>-0.06</v>
      </c>
      <c r="G52" s="69">
        <f>'50% Exceedance Baseline'!G52</f>
        <v>-0.06</v>
      </c>
      <c r="H52" s="69">
        <f>'50% Exceedance Baseline'!H52</f>
        <v>-0.06</v>
      </c>
      <c r="I52" s="69">
        <f>'50% Exceedance Baseline'!I52</f>
        <v>-9.9000000000000005E-2</v>
      </c>
      <c r="J52" s="69">
        <f>'50% Exceedance Baseline'!J52</f>
        <v>-9.9000000000000005E-2</v>
      </c>
      <c r="K52" s="69">
        <f>'50% Exceedance Baseline'!K52</f>
        <v>-0.09</v>
      </c>
      <c r="L52" s="69">
        <f>'50% Exceedance Baseline'!L52</f>
        <v>-0.09</v>
      </c>
      <c r="M52" s="69">
        <f>'50% Exceedance Baseline'!M52</f>
        <v>-0.13700000000000001</v>
      </c>
      <c r="N52" s="69">
        <f>'50% Exceedance Baseline'!N52</f>
        <v>-0.13700000000000001</v>
      </c>
      <c r="O52" s="82">
        <f>'50% Exceedance Baseline'!O52</f>
        <v>6.0000000000000001E-3</v>
      </c>
      <c r="P52" s="82">
        <f>'50% Exceedance Baseline'!P52</f>
        <v>6.0000000000000001E-3</v>
      </c>
      <c r="Q52" s="69">
        <f>'50% Exceedance Baseline'!Q52</f>
        <v>-5.8999999999999997E-2</v>
      </c>
      <c r="R52" s="69">
        <f>'50% Exceedance Baseline'!R52</f>
        <v>-5.8999999999999997E-2</v>
      </c>
      <c r="S52" s="107"/>
      <c r="T52" s="100" t="str">
        <f>'50% Exceedance Baseline'!T52</f>
        <v>Percentage total inputs lost or gained due to streambed hydrology (2002-2015 WWBWC seepage data)</v>
      </c>
      <c r="U52" s="83"/>
    </row>
    <row r="53" spans="2:21" x14ac:dyDescent="0.25">
      <c r="B53" s="84" t="s">
        <v>20</v>
      </c>
      <c r="C53" s="57">
        <f t="shared" ref="C53:N53" si="26">SUM(C50+C30)*(1+C52)</f>
        <v>0</v>
      </c>
      <c r="D53" s="57">
        <f t="shared" si="26"/>
        <v>0</v>
      </c>
      <c r="E53" s="57">
        <f t="shared" si="26"/>
        <v>0</v>
      </c>
      <c r="F53" s="57">
        <f t="shared" si="26"/>
        <v>38.54</v>
      </c>
      <c r="G53" s="57">
        <f>SUM(G50+G30)*(1+G52)</f>
        <v>101.52</v>
      </c>
      <c r="H53" s="57">
        <f t="shared" si="26"/>
        <v>79.899999999999991</v>
      </c>
      <c r="I53" s="57">
        <f t="shared" si="26"/>
        <v>63.971000000000004</v>
      </c>
      <c r="J53" s="57">
        <f t="shared" si="26"/>
        <v>63.07</v>
      </c>
      <c r="K53" s="57">
        <f t="shared" si="26"/>
        <v>58.24</v>
      </c>
      <c r="L53" s="57">
        <f t="shared" si="26"/>
        <v>59.15</v>
      </c>
      <c r="M53" s="57">
        <f t="shared" si="26"/>
        <v>57.820999999999998</v>
      </c>
      <c r="N53" s="57">
        <f t="shared" si="26"/>
        <v>58.683999999999997</v>
      </c>
      <c r="O53" s="57">
        <f>SUM(O50+O30)*(1+O52)</f>
        <v>50.3</v>
      </c>
      <c r="P53" s="57">
        <f>SUM(P50+P30)*(1+P52)</f>
        <v>52.311999999999998</v>
      </c>
      <c r="Q53" s="57">
        <f>SUM(Q50+Q30)*(1+Q52)</f>
        <v>35.758000000000003</v>
      </c>
      <c r="R53" s="58">
        <f>SUM(R50+R30)*(1+R52)</f>
        <v>25.407</v>
      </c>
      <c r="S53" s="110"/>
      <c r="T53" s="100" t="str">
        <f>'50% Exceedance Baseline'!T53</f>
        <v>Total of all upstream input flow adjusted for streambed loss or gain</v>
      </c>
    </row>
    <row r="54" spans="2:21" ht="15.75" thickBot="1" x14ac:dyDescent="0.3">
      <c r="B54" s="7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3"/>
      <c r="S54" s="110"/>
    </row>
    <row r="55" spans="2:21" ht="15.75" thickBot="1" x14ac:dyDescent="0.3">
      <c r="B55" s="24" t="s">
        <v>53</v>
      </c>
      <c r="C55" s="50">
        <f>'50% Exceedance Baseline'!C55</f>
        <v>279.75</v>
      </c>
      <c r="D55" s="50">
        <f>'50% Exceedance Baseline'!D55</f>
        <v>227.25</v>
      </c>
      <c r="E55" s="50">
        <f>'50% Exceedance Baseline'!E55</f>
        <v>211.5</v>
      </c>
      <c r="F55" s="50">
        <f>'50% Exceedance Baseline'!F55</f>
        <v>111.75</v>
      </c>
      <c r="G55" s="132">
        <f>'50% Exceedance Baseline'!G55</f>
        <v>36.193425470000001</v>
      </c>
      <c r="H55" s="132">
        <f>'50% Exceedance Baseline'!H55</f>
        <v>36.514954629999998</v>
      </c>
      <c r="I55" s="132">
        <f>'50% Exceedance Baseline'!I55</f>
        <v>28.71683552</v>
      </c>
      <c r="J55" s="132">
        <f>'50% Exceedance Baseline'!J55</f>
        <v>28.992286459999999</v>
      </c>
      <c r="K55" s="132">
        <f>'50% Exceedance Baseline'!K55</f>
        <v>31.611497109999998</v>
      </c>
      <c r="L55" s="132">
        <f>'50% Exceedance Baseline'!L55</f>
        <v>30.271113110000002</v>
      </c>
      <c r="M55" s="132">
        <f>'50% Exceedance Baseline'!M55</f>
        <v>33.141395840000001</v>
      </c>
      <c r="N55" s="132">
        <f>'50% Exceedance Baseline'!N55</f>
        <v>30.900833339999998</v>
      </c>
      <c r="O55" s="132">
        <f>'50% Exceedance Baseline'!O55</f>
        <v>33.673385420000002</v>
      </c>
      <c r="P55" s="132">
        <f>'50% Exceedance Baseline'!P55</f>
        <v>38.068871489999999</v>
      </c>
      <c r="Q55" s="132">
        <f>'50% Exceedance Baseline'!Q55</f>
        <v>49.472371559999999</v>
      </c>
      <c r="R55" s="132">
        <f>'50% Exceedance Baseline'!R55</f>
        <v>67.550124999999994</v>
      </c>
      <c r="S55" s="19"/>
      <c r="T55" s="100" t="str">
        <f>'50% Exceedance Baseline'!T55</f>
        <v>Median flow data at S-106 gage (2002-2016; April - May estimated)</v>
      </c>
    </row>
    <row r="56" spans="2:21" x14ac:dyDescent="0.25">
      <c r="B56" s="47" t="s">
        <v>37</v>
      </c>
      <c r="C56" s="48">
        <f>C55+C53</f>
        <v>279.75</v>
      </c>
      <c r="D56" s="48">
        <f t="shared" ref="D56:E56" si="27">D55+D53</f>
        <v>227.25</v>
      </c>
      <c r="E56" s="48">
        <f t="shared" si="27"/>
        <v>211.5</v>
      </c>
      <c r="F56" s="48">
        <f>F55+F53</f>
        <v>150.29</v>
      </c>
      <c r="G56" s="48">
        <f>G55+G53</f>
        <v>137.71342547</v>
      </c>
      <c r="H56" s="48">
        <f t="shared" ref="H56" si="28">H55+H53</f>
        <v>116.41495462999998</v>
      </c>
      <c r="I56" s="48">
        <f>I55+I53</f>
        <v>92.687835520000007</v>
      </c>
      <c r="J56" s="48">
        <f t="shared" ref="J56:N56" si="29">J55+J53</f>
        <v>92.062286459999996</v>
      </c>
      <c r="K56" s="48">
        <f t="shared" si="29"/>
        <v>89.851497109999997</v>
      </c>
      <c r="L56" s="48">
        <f t="shared" si="29"/>
        <v>89.421113109999993</v>
      </c>
      <c r="M56" s="48">
        <f t="shared" si="29"/>
        <v>90.962395839999999</v>
      </c>
      <c r="N56" s="48">
        <f t="shared" si="29"/>
        <v>89.584833339999989</v>
      </c>
      <c r="O56" s="48">
        <f>O55+O53</f>
        <v>83.97338542</v>
      </c>
      <c r="P56" s="48">
        <f>P55+P53</f>
        <v>90.380871490000004</v>
      </c>
      <c r="Q56" s="48">
        <f>Q55+Q53</f>
        <v>85.230371560000009</v>
      </c>
      <c r="R56" s="49">
        <f>R55+R53</f>
        <v>92.957124999999991</v>
      </c>
      <c r="S56" s="111"/>
      <c r="T56" s="100" t="str">
        <f>'50% Exceedance Baseline'!T56</f>
        <v>Flow gage data plus cumulative inputs adjusted for streambed loss or gain</v>
      </c>
    </row>
    <row r="57" spans="2:21" s="4" customFormat="1" x14ac:dyDescent="0.25">
      <c r="B57" s="10" t="s">
        <v>8</v>
      </c>
      <c r="C57" s="8">
        <f>$C$16</f>
        <v>150</v>
      </c>
      <c r="D57" s="8">
        <f>$D$16</f>
        <v>150</v>
      </c>
      <c r="E57" s="8">
        <f>$E$16</f>
        <v>150</v>
      </c>
      <c r="F57" s="8">
        <f>$F$16</f>
        <v>150</v>
      </c>
      <c r="G57" s="8">
        <f>$G$16</f>
        <v>150</v>
      </c>
      <c r="H57" s="8">
        <f>$H$16</f>
        <v>100</v>
      </c>
      <c r="I57" s="8">
        <f>$I$16</f>
        <v>65</v>
      </c>
      <c r="J57" s="8">
        <f>$J$16</f>
        <v>65</v>
      </c>
      <c r="K57" s="8">
        <f>$K$16</f>
        <v>65</v>
      </c>
      <c r="L57" s="8">
        <f>$L$16</f>
        <v>65</v>
      </c>
      <c r="M57" s="8">
        <f>$M$16</f>
        <v>65</v>
      </c>
      <c r="N57" s="8">
        <f>$N$16</f>
        <v>65</v>
      </c>
      <c r="O57" s="8">
        <f>$O$16</f>
        <v>65</v>
      </c>
      <c r="P57" s="8">
        <f>$P$16</f>
        <v>65</v>
      </c>
      <c r="Q57" s="8">
        <f>$Q$16</f>
        <v>65</v>
      </c>
      <c r="R57" s="9">
        <f>$R$16</f>
        <v>65</v>
      </c>
      <c r="S57" s="112"/>
      <c r="T57" s="100" t="str">
        <f>'50% Exceedance Baseline'!T57</f>
        <v>Target flows</v>
      </c>
      <c r="U57" s="119"/>
    </row>
    <row r="58" spans="2:21" s="30" customFormat="1" ht="15.75" thickBot="1" x14ac:dyDescent="0.3">
      <c r="B58" s="37" t="s">
        <v>10</v>
      </c>
      <c r="C58" s="38">
        <f>IF(C56&gt;C57,0,(C57-C56)*-1)</f>
        <v>0</v>
      </c>
      <c r="D58" s="38">
        <f t="shared" ref="D58:N58" si="30">IF(D56&gt;D57,0,(D57-D56)*-1)</f>
        <v>0</v>
      </c>
      <c r="E58" s="38">
        <f t="shared" si="30"/>
        <v>0</v>
      </c>
      <c r="F58" s="38">
        <f>IF(F56&gt;F57,0,(F57-F56)*-1)</f>
        <v>0</v>
      </c>
      <c r="G58" s="38">
        <f>IF(G56&gt;G57,0,(G57-G56)*-1)</f>
        <v>-12.286574529999996</v>
      </c>
      <c r="H58" s="38">
        <f t="shared" si="30"/>
        <v>0</v>
      </c>
      <c r="I58" s="38">
        <f t="shared" si="30"/>
        <v>0</v>
      </c>
      <c r="J58" s="38">
        <f t="shared" si="30"/>
        <v>0</v>
      </c>
      <c r="K58" s="38">
        <f t="shared" si="30"/>
        <v>0</v>
      </c>
      <c r="L58" s="38">
        <f t="shared" si="30"/>
        <v>0</v>
      </c>
      <c r="M58" s="38">
        <f t="shared" si="30"/>
        <v>0</v>
      </c>
      <c r="N58" s="38">
        <f t="shared" si="30"/>
        <v>0</v>
      </c>
      <c r="O58" s="38">
        <f>IF(O56&gt;O57,0,(O57-O56)*-1)</f>
        <v>0</v>
      </c>
      <c r="P58" s="38">
        <f>IF(P56&gt;P57,0,(P57-P56)*-1)</f>
        <v>0</v>
      </c>
      <c r="Q58" s="38">
        <f>IF(Q56&gt;Q57,0,(Q57-Q56)*-1)</f>
        <v>0</v>
      </c>
      <c r="R58" s="39">
        <f>IF(R56&gt;R57,0,(R57-R56)*-1)</f>
        <v>0</v>
      </c>
      <c r="S58" s="105"/>
      <c r="T58" s="100" t="str">
        <f>'50% Exceedance Baseline'!T58</f>
        <v>Deficit between target flows and flow gage data plus total adjusted inputs</v>
      </c>
      <c r="U58" s="29"/>
    </row>
    <row r="59" spans="2:21" s="30" customFormat="1" x14ac:dyDescent="0.25">
      <c r="B59" s="40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105"/>
      <c r="T59" s="100"/>
      <c r="U59" s="29"/>
    </row>
    <row r="60" spans="2:21" s="15" customFormat="1" ht="15.75" thickBot="1" x14ac:dyDescent="0.3">
      <c r="B60" s="60" t="s">
        <v>63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8"/>
      <c r="T60" s="100"/>
      <c r="U60" s="7"/>
    </row>
    <row r="61" spans="2:21" ht="15.75" thickBot="1" x14ac:dyDescent="0.3">
      <c r="B61" s="78" t="s">
        <v>5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121">
        <v>0</v>
      </c>
      <c r="R61" s="46">
        <v>0</v>
      </c>
      <c r="S61" s="105"/>
      <c r="T61" s="100" t="str">
        <f>'50% Exceedance Baseline'!T61</f>
        <v>Flow input between Mgt. Pt. 2 and Mgt. Pt. 3</v>
      </c>
    </row>
    <row r="62" spans="2:21" x14ac:dyDescent="0.25">
      <c r="B62" s="79" t="s">
        <v>7</v>
      </c>
      <c r="C62" s="16">
        <f>IF(C76&gt;C75,((C76-C75)*-1),((C75-C76)))</f>
        <v>145.26822920000001</v>
      </c>
      <c r="D62" s="16">
        <f t="shared" ref="D62:E62" si="31">IF(D76&gt;D75,((D76-D75)*-1),((D75-D76)))</f>
        <v>109.96515360000001</v>
      </c>
      <c r="E62" s="16">
        <f t="shared" si="31"/>
        <v>94.1171875</v>
      </c>
      <c r="F62" s="16">
        <f>IF(F76&gt;F75,((F76-F75)*-1),((F75-F76)))</f>
        <v>47.782325399999991</v>
      </c>
      <c r="G62" s="16">
        <f>IF(G76&gt;G75,((G76-G75)*-1),((G75-G76)))</f>
        <v>4.2519808700000112</v>
      </c>
      <c r="H62" s="16">
        <f t="shared" ref="H62:R62" si="32">IF(H76&gt;H75,((H76-H75)*-1),((H75-H76)))</f>
        <v>4.5480955899999884</v>
      </c>
      <c r="I62" s="16">
        <f t="shared" si="32"/>
        <v>0.39788814000000627</v>
      </c>
      <c r="J62" s="16">
        <f t="shared" si="32"/>
        <v>0.5553354200000058</v>
      </c>
      <c r="K62" s="16">
        <f t="shared" si="32"/>
        <v>-4.2024541599999949</v>
      </c>
      <c r="L62" s="16">
        <f t="shared" si="32"/>
        <v>-5.9301550900000066</v>
      </c>
      <c r="M62" s="16">
        <f t="shared" si="32"/>
        <v>0.40563072999999861</v>
      </c>
      <c r="N62" s="16">
        <f t="shared" si="32"/>
        <v>0.30071623000000614</v>
      </c>
      <c r="O62" s="16">
        <f t="shared" si="32"/>
        <v>0.20647560999999826</v>
      </c>
      <c r="P62" s="16">
        <f t="shared" si="32"/>
        <v>7.8063807099999991</v>
      </c>
      <c r="Q62" s="16">
        <f t="shared" si="32"/>
        <v>27.554258420000011</v>
      </c>
      <c r="R62" s="14">
        <f t="shared" si="32"/>
        <v>39.204537610000017</v>
      </c>
      <c r="S62" s="18"/>
      <c r="T62" s="100" t="str">
        <f>'50% Exceedance Baseline'!T62</f>
        <v>Flow target surplus or deficit after input</v>
      </c>
    </row>
    <row r="63" spans="2:21" ht="15.75" thickBot="1" x14ac:dyDescent="0.3">
      <c r="B63" s="80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7"/>
      <c r="S63" s="18"/>
    </row>
    <row r="64" spans="2:21" s="12" customFormat="1" ht="15.75" thickBot="1" x14ac:dyDescent="0.3">
      <c r="B64" s="73" t="s">
        <v>6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121">
        <v>0</v>
      </c>
      <c r="R64" s="46">
        <v>0</v>
      </c>
      <c r="S64" s="105"/>
      <c r="T64" s="100" t="str">
        <f>'50% Exceedance Baseline'!T64</f>
        <v>Flow input between Mgt. Pt. 2 and Mgt. Pt. 3</v>
      </c>
      <c r="U64" s="13"/>
    </row>
    <row r="65" spans="2:21" s="4" customFormat="1" x14ac:dyDescent="0.25">
      <c r="B65" s="79" t="s">
        <v>7</v>
      </c>
      <c r="C65" s="16">
        <f>IF(C76&gt;C75,((C76-C75)*-1),((C75-C76)))</f>
        <v>145.26822920000001</v>
      </c>
      <c r="D65" s="16">
        <f t="shared" ref="D65:R65" si="33">IF(D76&gt;D75,((D76-D75)*-1),((D75-D76)))</f>
        <v>109.96515360000001</v>
      </c>
      <c r="E65" s="16">
        <f t="shared" si="33"/>
        <v>94.1171875</v>
      </c>
      <c r="F65" s="16">
        <f t="shared" si="33"/>
        <v>47.782325399999991</v>
      </c>
      <c r="G65" s="16">
        <f t="shared" si="33"/>
        <v>4.2519808700000112</v>
      </c>
      <c r="H65" s="16">
        <f t="shared" si="33"/>
        <v>4.5480955899999884</v>
      </c>
      <c r="I65" s="16">
        <f t="shared" si="33"/>
        <v>0.39788814000000627</v>
      </c>
      <c r="J65" s="16">
        <f t="shared" si="33"/>
        <v>0.5553354200000058</v>
      </c>
      <c r="K65" s="16">
        <f t="shared" si="33"/>
        <v>-4.2024541599999949</v>
      </c>
      <c r="L65" s="16">
        <f t="shared" si="33"/>
        <v>-5.9301550900000066</v>
      </c>
      <c r="M65" s="16">
        <f t="shared" si="33"/>
        <v>0.40563072999999861</v>
      </c>
      <c r="N65" s="16">
        <f t="shared" si="33"/>
        <v>0.30071623000000614</v>
      </c>
      <c r="O65" s="16">
        <f t="shared" si="33"/>
        <v>0.20647560999999826</v>
      </c>
      <c r="P65" s="16">
        <f t="shared" si="33"/>
        <v>7.8063807099999991</v>
      </c>
      <c r="Q65" s="16">
        <f t="shared" si="33"/>
        <v>27.554258420000011</v>
      </c>
      <c r="R65" s="14">
        <f t="shared" si="33"/>
        <v>39.204537610000017</v>
      </c>
      <c r="S65" s="18"/>
      <c r="T65" s="100" t="str">
        <f>'50% Exceedance Baseline'!T65</f>
        <v>Flow target surplus or deficit after input</v>
      </c>
      <c r="U65" s="119"/>
    </row>
    <row r="66" spans="2:21" s="4" customFormat="1" ht="15.75" thickBot="1" x14ac:dyDescent="0.3">
      <c r="B66" s="80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7"/>
      <c r="S66" s="18"/>
      <c r="T66" s="100"/>
      <c r="U66" s="119"/>
    </row>
    <row r="67" spans="2:21" ht="15.75" thickBot="1" x14ac:dyDescent="0.3">
      <c r="B67" s="73" t="s">
        <v>60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121">
        <v>0</v>
      </c>
      <c r="R67" s="46">
        <v>0</v>
      </c>
      <c r="S67" s="105"/>
      <c r="T67" s="100" t="str">
        <f>'50% Exceedance Baseline'!T67</f>
        <v>Flow input between Mgt. Pt. 2 and Mgt. Pt. 3</v>
      </c>
    </row>
    <row r="68" spans="2:21" s="4" customFormat="1" x14ac:dyDescent="0.25">
      <c r="B68" s="79" t="s">
        <v>7</v>
      </c>
      <c r="C68" s="16">
        <f>IF(C76&gt;C75,((C76-C75)*-1),((C75-C76)))</f>
        <v>145.26822920000001</v>
      </c>
      <c r="D68" s="16">
        <f t="shared" ref="D68:R68" si="34">IF(D76&gt;D75,((D76-D75)*-1),((D75-D76)))</f>
        <v>109.96515360000001</v>
      </c>
      <c r="E68" s="16">
        <f t="shared" si="34"/>
        <v>94.1171875</v>
      </c>
      <c r="F68" s="16">
        <f t="shared" si="34"/>
        <v>47.782325399999991</v>
      </c>
      <c r="G68" s="16">
        <f t="shared" si="34"/>
        <v>4.2519808700000112</v>
      </c>
      <c r="H68" s="16">
        <f t="shared" si="34"/>
        <v>4.5480955899999884</v>
      </c>
      <c r="I68" s="16">
        <f t="shared" si="34"/>
        <v>0.39788814000000627</v>
      </c>
      <c r="J68" s="16">
        <f t="shared" si="34"/>
        <v>0.5553354200000058</v>
      </c>
      <c r="K68" s="16">
        <f t="shared" si="34"/>
        <v>-4.2024541599999949</v>
      </c>
      <c r="L68" s="16">
        <f t="shared" si="34"/>
        <v>-5.9301550900000066</v>
      </c>
      <c r="M68" s="16">
        <f t="shared" si="34"/>
        <v>0.40563072999999861</v>
      </c>
      <c r="N68" s="16">
        <f t="shared" si="34"/>
        <v>0.30071623000000614</v>
      </c>
      <c r="O68" s="16">
        <f t="shared" si="34"/>
        <v>0.20647560999999826</v>
      </c>
      <c r="P68" s="16">
        <f t="shared" si="34"/>
        <v>7.8063807099999991</v>
      </c>
      <c r="Q68" s="16">
        <f t="shared" si="34"/>
        <v>27.554258420000011</v>
      </c>
      <c r="R68" s="14">
        <f t="shared" si="34"/>
        <v>39.204537610000017</v>
      </c>
      <c r="S68" s="18"/>
      <c r="T68" s="100" t="str">
        <f>'50% Exceedance Baseline'!T68</f>
        <v>Flow target surplus or deficit after input</v>
      </c>
      <c r="U68" s="119"/>
    </row>
    <row r="69" spans="2:21" x14ac:dyDescent="0.25">
      <c r="B69" s="81" t="s">
        <v>22</v>
      </c>
      <c r="C69" s="18">
        <f t="shared" ref="C69:F69" si="35">SUM(C61+C64+C67)</f>
        <v>0</v>
      </c>
      <c r="D69" s="18">
        <f t="shared" si="35"/>
        <v>0</v>
      </c>
      <c r="E69" s="18">
        <f t="shared" si="35"/>
        <v>0</v>
      </c>
      <c r="F69" s="18">
        <f t="shared" si="35"/>
        <v>0</v>
      </c>
      <c r="G69" s="18">
        <f>SUM(G61+G64+G67)</f>
        <v>0</v>
      </c>
      <c r="H69" s="18">
        <f t="shared" ref="H69:N69" si="36">SUM(H61+H64+H67)</f>
        <v>0</v>
      </c>
      <c r="I69" s="18">
        <f t="shared" si="36"/>
        <v>0</v>
      </c>
      <c r="J69" s="18">
        <f t="shared" si="36"/>
        <v>0</v>
      </c>
      <c r="K69" s="18">
        <f t="shared" si="36"/>
        <v>0</v>
      </c>
      <c r="L69" s="18">
        <f t="shared" si="36"/>
        <v>0</v>
      </c>
      <c r="M69" s="18">
        <f t="shared" si="36"/>
        <v>0</v>
      </c>
      <c r="N69" s="18">
        <f t="shared" si="36"/>
        <v>0</v>
      </c>
      <c r="O69" s="18">
        <f>SUM(O61+O64+O67)</f>
        <v>0</v>
      </c>
      <c r="P69" s="18">
        <f>SUM(P61+P64+P67)</f>
        <v>0</v>
      </c>
      <c r="Q69" s="18">
        <f>SUM(Q61+Q64+Q67)</f>
        <v>0</v>
      </c>
      <c r="R69" s="17">
        <f>SUM(R61+R64+R67)</f>
        <v>0</v>
      </c>
      <c r="S69" s="18"/>
      <c r="T69" s="100" t="str">
        <f>'50% Exceedance Baseline'!T69</f>
        <v>Subtotal of all inputs in Nursery Bridge to Pepper Bridge reach</v>
      </c>
    </row>
    <row r="70" spans="2:21" s="32" customFormat="1" ht="15.75" thickBot="1" x14ac:dyDescent="0.3">
      <c r="B70" s="80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7"/>
      <c r="S70" s="18"/>
      <c r="T70" s="100"/>
    </row>
    <row r="71" spans="2:21" s="64" customFormat="1" ht="15.75" thickBot="1" x14ac:dyDescent="0.3">
      <c r="B71" s="70" t="s">
        <v>69</v>
      </c>
      <c r="C71" s="69">
        <f>'50% Exceedance Baseline'!C71</f>
        <v>-0.16</v>
      </c>
      <c r="D71" s="69">
        <f>'50% Exceedance Baseline'!D71</f>
        <v>-0.16</v>
      </c>
      <c r="E71" s="69">
        <f>'50% Exceedance Baseline'!E71</f>
        <v>-0.16</v>
      </c>
      <c r="F71" s="69">
        <f>'50% Exceedance Baseline'!F71</f>
        <v>-0.16</v>
      </c>
      <c r="G71" s="69">
        <f>'50% Exceedance Baseline'!G71</f>
        <v>-0.16</v>
      </c>
      <c r="H71" s="69">
        <f>'50% Exceedance Baseline'!H71</f>
        <v>-0.16</v>
      </c>
      <c r="I71" s="69">
        <f>'50% Exceedance Baseline'!I71</f>
        <v>-0.24</v>
      </c>
      <c r="J71" s="69">
        <f>'50% Exceedance Baseline'!J71</f>
        <v>-0.24</v>
      </c>
      <c r="K71" s="69">
        <f>'50% Exceedance Baseline'!K71</f>
        <v>-0.26500000000000001</v>
      </c>
      <c r="L71" s="69">
        <f>'50% Exceedance Baseline'!L71</f>
        <v>-0.26500000000000001</v>
      </c>
      <c r="M71" s="69">
        <f>'50% Exceedance Baseline'!M71</f>
        <v>-0.215</v>
      </c>
      <c r="N71" s="69">
        <f>'50% Exceedance Baseline'!N71</f>
        <v>-0.215</v>
      </c>
      <c r="O71" s="69">
        <f>'50% Exceedance Baseline'!O71</f>
        <v>-0.17</v>
      </c>
      <c r="P71" s="69">
        <f>'50% Exceedance Baseline'!P71</f>
        <v>-0.17</v>
      </c>
      <c r="Q71" s="82">
        <f>'50% Exceedance Baseline'!Q71</f>
        <v>0.20899999999999999</v>
      </c>
      <c r="R71" s="82">
        <f>'50% Exceedance Baseline'!R71</f>
        <v>0.20899999999999999</v>
      </c>
      <c r="S71" s="107"/>
      <c r="T71" s="100" t="str">
        <f>'50% Exceedance Baseline'!T71</f>
        <v>Percentage total inputs lost or gained due to streambed hydrology (2002-2015 WWBWC seepage data); estimated current rates halved to reflect assumed seepage reductions from future projects</v>
      </c>
    </row>
    <row r="72" spans="2:21" s="28" customFormat="1" x14ac:dyDescent="0.25">
      <c r="B72" s="84" t="s">
        <v>20</v>
      </c>
      <c r="C72" s="57">
        <f>SUM(C69+C53)*(1+C71)</f>
        <v>0</v>
      </c>
      <c r="D72" s="57">
        <f t="shared" ref="D72:N72" si="37">SUM(D69+D53)*(1+D71)</f>
        <v>0</v>
      </c>
      <c r="E72" s="57">
        <f t="shared" si="37"/>
        <v>0</v>
      </c>
      <c r="F72" s="57">
        <f t="shared" si="37"/>
        <v>32.373599999999996</v>
      </c>
      <c r="G72" s="57">
        <f t="shared" si="37"/>
        <v>85.276799999999994</v>
      </c>
      <c r="H72" s="57">
        <f t="shared" si="37"/>
        <v>67.115999999999985</v>
      </c>
      <c r="I72" s="57">
        <f t="shared" si="37"/>
        <v>48.617960000000004</v>
      </c>
      <c r="J72" s="57">
        <f t="shared" si="37"/>
        <v>47.933199999999999</v>
      </c>
      <c r="K72" s="57">
        <f t="shared" si="37"/>
        <v>42.806400000000004</v>
      </c>
      <c r="L72" s="57">
        <f t="shared" si="37"/>
        <v>43.475249999999996</v>
      </c>
      <c r="M72" s="57">
        <f t="shared" si="37"/>
        <v>45.389485000000001</v>
      </c>
      <c r="N72" s="57">
        <f t="shared" si="37"/>
        <v>46.066940000000002</v>
      </c>
      <c r="O72" s="57">
        <f>SUM(O69+O53)*(1+O71)</f>
        <v>41.748999999999995</v>
      </c>
      <c r="P72" s="122">
        <f>SUM(P69+P53)*(1+P71)</f>
        <v>43.418959999999998</v>
      </c>
      <c r="Q72" s="57">
        <f>SUM(Q69+Q53)*(1+Q71)</f>
        <v>43.231422000000009</v>
      </c>
      <c r="R72" s="68">
        <f>SUM(R69+R53)*(1+R71)</f>
        <v>30.717063000000003</v>
      </c>
      <c r="S72" s="110"/>
      <c r="T72" s="100" t="str">
        <f>'50% Exceedance Baseline'!T72</f>
        <v>Total of all upstream input flow adjusted for streambed loss or gain</v>
      </c>
    </row>
    <row r="73" spans="2:21" s="21" customFormat="1" ht="15.75" thickBot="1" x14ac:dyDescent="0.3">
      <c r="B73" s="7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3"/>
      <c r="S73" s="110"/>
      <c r="T73" s="100"/>
      <c r="U73" s="20"/>
    </row>
    <row r="74" spans="2:21" s="12" customFormat="1" ht="15.75" thickBot="1" x14ac:dyDescent="0.3">
      <c r="B74" s="87" t="s">
        <v>54</v>
      </c>
      <c r="C74" s="123">
        <f>'50% Exceedance Baseline'!C74</f>
        <v>295.26822920000001</v>
      </c>
      <c r="D74" s="123">
        <f>'50% Exceedance Baseline'!D74</f>
        <v>259.96515360000001</v>
      </c>
      <c r="E74" s="123">
        <f>'50% Exceedance Baseline'!E74</f>
        <v>244.1171875</v>
      </c>
      <c r="F74" s="123">
        <f>'50% Exceedance Baseline'!F74</f>
        <v>165.40872540000001</v>
      </c>
      <c r="G74" s="123">
        <f>'50% Exceedance Baseline'!G74</f>
        <v>68.975180870000003</v>
      </c>
      <c r="H74" s="123">
        <f>'50% Exceedance Baseline'!H74</f>
        <v>37.432095590000003</v>
      </c>
      <c r="I74" s="123">
        <f>'50% Exceedance Baseline'!I74</f>
        <v>16.779928139999999</v>
      </c>
      <c r="J74" s="123">
        <f>'50% Exceedance Baseline'!J74</f>
        <v>17.622135419999999</v>
      </c>
      <c r="K74" s="123">
        <f>'50% Exceedance Baseline'!K74</f>
        <v>17.991145840000001</v>
      </c>
      <c r="L74" s="123">
        <f>'50% Exceedance Baseline'!L74</f>
        <v>15.59459491</v>
      </c>
      <c r="M74" s="123">
        <f>'50% Exceedance Baseline'!M74</f>
        <v>20.016145730000002</v>
      </c>
      <c r="N74" s="123">
        <f>'50% Exceedance Baseline'!N74</f>
        <v>19.23377623</v>
      </c>
      <c r="O74" s="123">
        <f>'50% Exceedance Baseline'!O74</f>
        <v>23.457475609999999</v>
      </c>
      <c r="P74" s="123">
        <f>'50% Exceedance Baseline'!P74</f>
        <v>29.387420710000001</v>
      </c>
      <c r="Q74" s="123">
        <f>'50% Exceedance Baseline'!Q74</f>
        <v>49.322836420000002</v>
      </c>
      <c r="R74" s="123">
        <f>'50% Exceedance Baseline'!R74</f>
        <v>73.487474610000007</v>
      </c>
      <c r="S74" s="108"/>
      <c r="T74" s="100" t="str">
        <f>'50% Exceedance Baseline'!T74</f>
        <v>Median flow data at S-108 gage (2004-2016)</v>
      </c>
    </row>
    <row r="75" spans="2:21" s="12" customFormat="1" x14ac:dyDescent="0.25">
      <c r="B75" s="88" t="s">
        <v>38</v>
      </c>
      <c r="C75" s="89">
        <f>C74+C72</f>
        <v>295.26822920000001</v>
      </c>
      <c r="D75" s="89">
        <f t="shared" ref="D75:E75" si="38">D74+D72</f>
        <v>259.96515360000001</v>
      </c>
      <c r="E75" s="89">
        <f t="shared" si="38"/>
        <v>244.1171875</v>
      </c>
      <c r="F75" s="89">
        <f>F74+F72</f>
        <v>197.78232539999999</v>
      </c>
      <c r="G75" s="89">
        <f t="shared" ref="G75:H75" si="39">G74+G72</f>
        <v>154.25198087000001</v>
      </c>
      <c r="H75" s="89">
        <f t="shared" si="39"/>
        <v>104.54809558999999</v>
      </c>
      <c r="I75" s="89">
        <f>I74+I72</f>
        <v>65.397888140000006</v>
      </c>
      <c r="J75" s="89">
        <f t="shared" ref="J75:N75" si="40">J74+J72</f>
        <v>65.555335420000006</v>
      </c>
      <c r="K75" s="89">
        <f t="shared" si="40"/>
        <v>60.797545840000005</v>
      </c>
      <c r="L75" s="89">
        <f t="shared" si="40"/>
        <v>59.069844909999993</v>
      </c>
      <c r="M75" s="89">
        <f t="shared" si="40"/>
        <v>65.405630729999999</v>
      </c>
      <c r="N75" s="89">
        <f t="shared" si="40"/>
        <v>65.300716230000006</v>
      </c>
      <c r="O75" s="89">
        <f>O74+O72</f>
        <v>65.206475609999998</v>
      </c>
      <c r="P75" s="89">
        <f>P74+P72</f>
        <v>72.806380709999999</v>
      </c>
      <c r="Q75" s="89">
        <f>Q74+Q72</f>
        <v>92.554258420000011</v>
      </c>
      <c r="R75" s="90">
        <f>R74+R72</f>
        <v>104.20453761000002</v>
      </c>
      <c r="S75" s="113"/>
      <c r="T75" s="100" t="str">
        <f>'50% Exceedance Baseline'!T75</f>
        <v>Flow gage data plus cumulative inputs adjusted for streambed loss or gain</v>
      </c>
    </row>
    <row r="76" spans="2:21" s="4" customFormat="1" x14ac:dyDescent="0.25">
      <c r="B76" s="10" t="s">
        <v>8</v>
      </c>
      <c r="C76" s="8">
        <f>$C$16</f>
        <v>150</v>
      </c>
      <c r="D76" s="8">
        <f>$D$16</f>
        <v>150</v>
      </c>
      <c r="E76" s="8">
        <f>$E$16</f>
        <v>150</v>
      </c>
      <c r="F76" s="8">
        <f>$F$16</f>
        <v>150</v>
      </c>
      <c r="G76" s="8">
        <f>$G$16</f>
        <v>150</v>
      </c>
      <c r="H76" s="8">
        <f>$H$16</f>
        <v>100</v>
      </c>
      <c r="I76" s="8">
        <f>$I$16</f>
        <v>65</v>
      </c>
      <c r="J76" s="8">
        <f>$J$16</f>
        <v>65</v>
      </c>
      <c r="K76" s="8">
        <f>$K$16</f>
        <v>65</v>
      </c>
      <c r="L76" s="8">
        <f>$L$16</f>
        <v>65</v>
      </c>
      <c r="M76" s="8">
        <f>$M$16</f>
        <v>65</v>
      </c>
      <c r="N76" s="8">
        <f>$N$16</f>
        <v>65</v>
      </c>
      <c r="O76" s="8">
        <f>$O$16</f>
        <v>65</v>
      </c>
      <c r="P76" s="8">
        <f>$P$16</f>
        <v>65</v>
      </c>
      <c r="Q76" s="8">
        <f>$Q$16</f>
        <v>65</v>
      </c>
      <c r="R76" s="9">
        <f>$R$16</f>
        <v>65</v>
      </c>
      <c r="S76" s="112"/>
      <c r="T76" s="100" t="str">
        <f>'50% Exceedance Baseline'!T76</f>
        <v>Target flows</v>
      </c>
    </row>
    <row r="77" spans="2:21" ht="15.75" thickBot="1" x14ac:dyDescent="0.3">
      <c r="B77" s="37" t="s">
        <v>12</v>
      </c>
      <c r="C77" s="38">
        <f>IF(C75&gt;C76,0,(C76-C75)*-1)</f>
        <v>0</v>
      </c>
      <c r="D77" s="38">
        <f t="shared" ref="D77:E77" si="41">IF(D75&gt;D76,0,(D76-D75)*-1)</f>
        <v>0</v>
      </c>
      <c r="E77" s="38">
        <f t="shared" si="41"/>
        <v>0</v>
      </c>
      <c r="F77" s="38">
        <f>IF(F75&gt;F76,0,(F76-F75)*-1)</f>
        <v>0</v>
      </c>
      <c r="G77" s="38">
        <f t="shared" ref="G77:N77" si="42">IF(G75&gt;G76,0,(G76-G75)*-1)</f>
        <v>0</v>
      </c>
      <c r="H77" s="38">
        <f t="shared" si="42"/>
        <v>0</v>
      </c>
      <c r="I77" s="38">
        <f t="shared" si="42"/>
        <v>0</v>
      </c>
      <c r="J77" s="38">
        <f t="shared" si="42"/>
        <v>0</v>
      </c>
      <c r="K77" s="38">
        <f t="shared" si="42"/>
        <v>-4.2024541599999949</v>
      </c>
      <c r="L77" s="38">
        <f t="shared" si="42"/>
        <v>-5.9301550900000066</v>
      </c>
      <c r="M77" s="38">
        <f t="shared" si="42"/>
        <v>0</v>
      </c>
      <c r="N77" s="38">
        <f t="shared" si="42"/>
        <v>0</v>
      </c>
      <c r="O77" s="38">
        <f>IF(O75&gt;O76,0,(O76-O75)*-1)</f>
        <v>0</v>
      </c>
      <c r="P77" s="38">
        <f>IF(P75&gt;P76,0,(P76-P75)*-1)</f>
        <v>0</v>
      </c>
      <c r="Q77" s="38">
        <f>IF(Q75&gt;Q76,0,(Q76-Q75)*-1)</f>
        <v>0</v>
      </c>
      <c r="R77" s="39">
        <f>IF(R75&gt;R76,0,(R76-R75)*-1)</f>
        <v>0</v>
      </c>
      <c r="S77" s="105"/>
      <c r="T77" s="100" t="str">
        <f>'50% Exceedance Baseline'!T77</f>
        <v>Deficit between target flows and flow gage data plus total adjusted inputs</v>
      </c>
    </row>
    <row r="78" spans="2:21" x14ac:dyDescent="0.25">
      <c r="B78" s="9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110"/>
    </row>
    <row r="80" spans="2:21" x14ac:dyDescent="0.25">
      <c r="B80" s="35" t="s">
        <v>3</v>
      </c>
      <c r="C80" s="34">
        <f>'50% Exceedance Baseline'!C80</f>
        <v>30</v>
      </c>
      <c r="D80" s="34">
        <f>'50% Exceedance Baseline'!D80</f>
        <v>30</v>
      </c>
      <c r="E80" s="34">
        <f>'50% Exceedance Baseline'!E80</f>
        <v>30</v>
      </c>
      <c r="F80" s="34">
        <f>'50% Exceedance Baseline'!F80</f>
        <v>30</v>
      </c>
      <c r="G80" s="34">
        <f>'50% Exceedance Baseline'!G80</f>
        <v>10</v>
      </c>
      <c r="H80" s="34">
        <f>'50% Exceedance Baseline'!H80</f>
        <v>10</v>
      </c>
      <c r="I80" s="34">
        <f>'50% Exceedance Baseline'!I80</f>
        <v>5</v>
      </c>
      <c r="J80" s="34">
        <f>'50% Exceedance Baseline'!J80</f>
        <v>5</v>
      </c>
      <c r="K80" s="34">
        <f>'50% Exceedance Baseline'!K80</f>
        <v>3</v>
      </c>
      <c r="L80" s="34">
        <f>'50% Exceedance Baseline'!L80</f>
        <v>3</v>
      </c>
      <c r="M80" s="34">
        <f>'50% Exceedance Baseline'!M80</f>
        <v>8</v>
      </c>
      <c r="N80" s="34">
        <f>'50% Exceedance Baseline'!N80</f>
        <v>8</v>
      </c>
      <c r="O80" s="34">
        <f>'50% Exceedance Baseline'!O80</f>
        <v>10</v>
      </c>
      <c r="P80" s="34">
        <f>'50% Exceedance Baseline'!P80</f>
        <v>10</v>
      </c>
      <c r="Q80" s="34">
        <f>'50% Exceedance Baseline'!Q80</f>
        <v>20</v>
      </c>
      <c r="R80" s="34">
        <f>'50% Exceedance Baseline'!R80</f>
        <v>20</v>
      </c>
      <c r="S80" s="63"/>
      <c r="T80" s="100" t="str">
        <f>'50% Exceedance Baseline'!T80</f>
        <v>Estimates for 2014-2015</v>
      </c>
    </row>
    <row r="81" spans="2:21" s="12" customFormat="1" x14ac:dyDescent="0.25">
      <c r="B81" s="62" t="s">
        <v>110</v>
      </c>
      <c r="C81" s="19">
        <v>10</v>
      </c>
      <c r="D81" s="19">
        <v>10</v>
      </c>
      <c r="E81" s="19">
        <v>10</v>
      </c>
      <c r="F81" s="19">
        <v>10</v>
      </c>
      <c r="G81" s="19">
        <v>5</v>
      </c>
      <c r="H81" s="19">
        <v>5</v>
      </c>
      <c r="I81" s="19">
        <v>3</v>
      </c>
      <c r="J81" s="19">
        <v>3</v>
      </c>
      <c r="K81" s="19">
        <v>3</v>
      </c>
      <c r="L81" s="19">
        <v>3</v>
      </c>
      <c r="M81" s="19">
        <v>3</v>
      </c>
      <c r="N81" s="19">
        <v>3</v>
      </c>
      <c r="O81" s="19">
        <v>3</v>
      </c>
      <c r="P81" s="19">
        <v>3</v>
      </c>
      <c r="Q81" s="19">
        <v>10</v>
      </c>
      <c r="R81" s="19">
        <v>10</v>
      </c>
      <c r="S81" s="19"/>
      <c r="T81" s="100"/>
    </row>
    <row r="82" spans="2:21" s="4" customFormat="1" x14ac:dyDescent="0.25">
      <c r="B82" s="86" t="s">
        <v>11</v>
      </c>
      <c r="C82" s="92">
        <f>'50% Exceedance Baseline'!C82</f>
        <v>90</v>
      </c>
      <c r="D82" s="92">
        <f>'50% Exceedance Baseline'!D82</f>
        <v>75</v>
      </c>
      <c r="E82" s="92">
        <f>'50% Exceedance Baseline'!E82</f>
        <v>50</v>
      </c>
      <c r="F82" s="92">
        <f>'50% Exceedance Baseline'!F82</f>
        <v>50</v>
      </c>
      <c r="G82" s="92">
        <f>'50% Exceedance Baseline'!G82</f>
        <v>35</v>
      </c>
      <c r="H82" s="92">
        <f>'50% Exceedance Baseline'!H82</f>
        <v>30</v>
      </c>
      <c r="I82" s="92">
        <f>'50% Exceedance Baseline'!I82</f>
        <v>0</v>
      </c>
      <c r="J82" s="92">
        <f>'50% Exceedance Baseline'!J82</f>
        <v>0</v>
      </c>
      <c r="K82" s="92">
        <f>'50% Exceedance Baseline'!K82</f>
        <v>0</v>
      </c>
      <c r="L82" s="92">
        <f>'50% Exceedance Baseline'!L82</f>
        <v>0</v>
      </c>
      <c r="M82" s="92">
        <f>'50% Exceedance Baseline'!M82</f>
        <v>0</v>
      </c>
      <c r="N82" s="92">
        <f>'50% Exceedance Baseline'!N82</f>
        <v>0</v>
      </c>
      <c r="O82" s="92">
        <f>'50% Exceedance Baseline'!O82</f>
        <v>32</v>
      </c>
      <c r="P82" s="92">
        <f>'50% Exceedance Baseline'!P82</f>
        <v>36</v>
      </c>
      <c r="Q82" s="92">
        <f>'50% Exceedance Baseline'!Q82</f>
        <v>58</v>
      </c>
      <c r="R82" s="92">
        <f>'50% Exceedance Baseline'!R82</f>
        <v>58</v>
      </c>
      <c r="S82" s="114"/>
      <c r="T82" s="100"/>
    </row>
    <row r="83" spans="2:21" s="4" customFormat="1" x14ac:dyDescent="0.25">
      <c r="B83" s="86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114"/>
      <c r="T83" s="100"/>
    </row>
    <row r="84" spans="2:21" s="4" customFormat="1" ht="15.75" thickBot="1" x14ac:dyDescent="0.3">
      <c r="B84" s="61" t="s">
        <v>61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114"/>
      <c r="T84" s="100"/>
    </row>
    <row r="85" spans="2:21" ht="15.75" thickBot="1" x14ac:dyDescent="0.3">
      <c r="B85" s="78" t="s">
        <v>5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121">
        <v>0</v>
      </c>
      <c r="R85" s="46">
        <v>0</v>
      </c>
      <c r="S85" s="105"/>
      <c r="T85" s="100" t="str">
        <f>'50% Exceedance Baseline'!T85</f>
        <v>Flow input between Mgt. Pt. 3 and Mgt. Pt. 4</v>
      </c>
    </row>
    <row r="86" spans="2:21" x14ac:dyDescent="0.25">
      <c r="B86" s="79" t="s">
        <v>7</v>
      </c>
      <c r="C86" s="16">
        <f>IF(C100&gt;C99,((C100-C99)*-1),((C99-C100)))</f>
        <v>190.65885420000001</v>
      </c>
      <c r="D86" s="16">
        <f t="shared" ref="D86:E86" si="43">IF(D100&gt;D99,((D100-D99)*-1),((D99-D100)))</f>
        <v>127.40364579999999</v>
      </c>
      <c r="E86" s="16">
        <f t="shared" si="43"/>
        <v>109.20572920000001</v>
      </c>
      <c r="F86" s="16">
        <f>IF(F100&gt;F99,((F100-F99)*-1),((F99-F100)))</f>
        <v>80.912228999999996</v>
      </c>
      <c r="G86" s="16">
        <f>IF(G100&gt;G99,((G100-G99)*-1),((G99-G100)))</f>
        <v>1.533432399999981</v>
      </c>
      <c r="H86" s="16">
        <f t="shared" ref="H86:P86" si="44">IF(H100&gt;H99,((H100-H99)*-1),((H99-H100)))</f>
        <v>0.12078591999998878</v>
      </c>
      <c r="I86" s="16">
        <f t="shared" si="44"/>
        <v>14.697409860000008</v>
      </c>
      <c r="J86" s="16">
        <f t="shared" si="44"/>
        <v>18.200391620000005</v>
      </c>
      <c r="K86" s="16">
        <f t="shared" si="44"/>
        <v>11.296724229999995</v>
      </c>
      <c r="L86" s="16">
        <f t="shared" si="44"/>
        <v>12.686720249999993</v>
      </c>
      <c r="M86" s="16">
        <f t="shared" si="44"/>
        <v>21.306487145000006</v>
      </c>
      <c r="N86" s="16">
        <f t="shared" si="44"/>
        <v>27.989967829999998</v>
      </c>
      <c r="O86" s="16">
        <f t="shared" si="44"/>
        <v>4.2993811699999895</v>
      </c>
      <c r="P86" s="16">
        <f t="shared" si="44"/>
        <v>0.36539808000000562</v>
      </c>
      <c r="Q86" s="16">
        <f>IF(Q100&gt;Q99,((Q100-Q99)*-1),((Q99-Q100)))</f>
        <v>0.34801424400001224</v>
      </c>
      <c r="R86" s="14">
        <f>IF(R100&gt;R99,((R100-R99)*-1),((R99-R100)))</f>
        <v>0.7690249209999962</v>
      </c>
      <c r="S86" s="18"/>
      <c r="T86" s="100" t="str">
        <f>'50% Exceedance Baseline'!T86</f>
        <v>Flow target surplus or deficit after input</v>
      </c>
    </row>
    <row r="87" spans="2:21" ht="15.75" thickBot="1" x14ac:dyDescent="0.3">
      <c r="B87" s="80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7"/>
      <c r="S87" s="18"/>
    </row>
    <row r="88" spans="2:21" s="4" customFormat="1" ht="15.75" thickBot="1" x14ac:dyDescent="0.3">
      <c r="B88" s="73" t="s">
        <v>6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121">
        <v>0</v>
      </c>
      <c r="R88" s="46">
        <v>0</v>
      </c>
      <c r="S88" s="105"/>
      <c r="T88" s="100" t="str">
        <f>'50% Exceedance Baseline'!T88</f>
        <v>Flow input between Mgt. Pt. 3 and Mgt. Pt. 4</v>
      </c>
      <c r="U88" s="119"/>
    </row>
    <row r="89" spans="2:21" x14ac:dyDescent="0.25">
      <c r="B89" s="79" t="s">
        <v>7</v>
      </c>
      <c r="C89" s="16">
        <f>IF(C100&gt;C99,((C100-C99)*-1),((C99-C100)))</f>
        <v>190.65885420000001</v>
      </c>
      <c r="D89" s="16">
        <f t="shared" ref="D89:R89" si="45">IF(D100&gt;D99,((D100-D99)*-1),((D99-D100)))</f>
        <v>127.40364579999999</v>
      </c>
      <c r="E89" s="16">
        <f t="shared" si="45"/>
        <v>109.20572920000001</v>
      </c>
      <c r="F89" s="16">
        <f t="shared" si="45"/>
        <v>80.912228999999996</v>
      </c>
      <c r="G89" s="16">
        <f t="shared" si="45"/>
        <v>1.533432399999981</v>
      </c>
      <c r="H89" s="16">
        <f t="shared" si="45"/>
        <v>0.12078591999998878</v>
      </c>
      <c r="I89" s="16">
        <f t="shared" si="45"/>
        <v>14.697409860000008</v>
      </c>
      <c r="J89" s="16">
        <f t="shared" si="45"/>
        <v>18.200391620000005</v>
      </c>
      <c r="K89" s="16">
        <f t="shared" si="45"/>
        <v>11.296724229999995</v>
      </c>
      <c r="L89" s="16">
        <f t="shared" si="45"/>
        <v>12.686720249999993</v>
      </c>
      <c r="M89" s="16">
        <f t="shared" si="45"/>
        <v>21.306487145000006</v>
      </c>
      <c r="N89" s="16">
        <f t="shared" si="45"/>
        <v>27.989967829999998</v>
      </c>
      <c r="O89" s="16">
        <f t="shared" si="45"/>
        <v>4.2993811699999895</v>
      </c>
      <c r="P89" s="16">
        <f t="shared" si="45"/>
        <v>0.36539808000000562</v>
      </c>
      <c r="Q89" s="16">
        <f t="shared" si="45"/>
        <v>0.34801424400001224</v>
      </c>
      <c r="R89" s="14">
        <f t="shared" si="45"/>
        <v>0.7690249209999962</v>
      </c>
      <c r="S89" s="18"/>
      <c r="T89" s="100" t="str">
        <f>'50% Exceedance Baseline'!T89</f>
        <v>Flow target surplus or deficit after input</v>
      </c>
    </row>
    <row r="90" spans="2:21" s="4" customFormat="1" ht="15.75" thickBot="1" x14ac:dyDescent="0.3">
      <c r="B90" s="80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7"/>
      <c r="S90" s="18"/>
      <c r="T90" s="100"/>
      <c r="U90" s="119"/>
    </row>
    <row r="91" spans="2:21" s="28" customFormat="1" ht="15.75" thickBot="1" x14ac:dyDescent="0.3">
      <c r="B91" s="73" t="s">
        <v>60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121">
        <v>0</v>
      </c>
      <c r="R91" s="46">
        <v>0</v>
      </c>
      <c r="S91" s="105"/>
      <c r="T91" s="100" t="str">
        <f>'50% Exceedance Baseline'!T91</f>
        <v>Flow input between Mgt. Pt. 3 and Mgt. Pt. 4</v>
      </c>
    </row>
    <row r="92" spans="2:21" s="4" customFormat="1" x14ac:dyDescent="0.25">
      <c r="B92" s="79" t="s">
        <v>7</v>
      </c>
      <c r="C92" s="16">
        <f>IF(C100&gt;C99,((C100-C99)*-1),((C99-C100)))</f>
        <v>190.65885420000001</v>
      </c>
      <c r="D92" s="16">
        <f t="shared" ref="D92:R92" si="46">IF(D100&gt;D99,((D100-D99)*-1),((D99-D100)))</f>
        <v>127.40364579999999</v>
      </c>
      <c r="E92" s="16">
        <f t="shared" si="46"/>
        <v>109.20572920000001</v>
      </c>
      <c r="F92" s="16">
        <f t="shared" si="46"/>
        <v>80.912228999999996</v>
      </c>
      <c r="G92" s="16">
        <f t="shared" si="46"/>
        <v>1.533432399999981</v>
      </c>
      <c r="H92" s="16">
        <f t="shared" si="46"/>
        <v>0.12078591999998878</v>
      </c>
      <c r="I92" s="16">
        <f t="shared" si="46"/>
        <v>14.697409860000008</v>
      </c>
      <c r="J92" s="16">
        <f t="shared" si="46"/>
        <v>18.200391620000005</v>
      </c>
      <c r="K92" s="16">
        <f t="shared" si="46"/>
        <v>11.296724229999995</v>
      </c>
      <c r="L92" s="16">
        <f t="shared" si="46"/>
        <v>12.686720249999993</v>
      </c>
      <c r="M92" s="16">
        <f t="shared" si="46"/>
        <v>21.306487145000006</v>
      </c>
      <c r="N92" s="16">
        <f t="shared" si="46"/>
        <v>27.989967829999998</v>
      </c>
      <c r="O92" s="16">
        <f t="shared" si="46"/>
        <v>4.2993811699999895</v>
      </c>
      <c r="P92" s="16">
        <f t="shared" si="46"/>
        <v>0.36539808000000562</v>
      </c>
      <c r="Q92" s="16">
        <f t="shared" si="46"/>
        <v>0.34801424400001224</v>
      </c>
      <c r="R92" s="14">
        <f t="shared" si="46"/>
        <v>0.7690249209999962</v>
      </c>
      <c r="S92" s="18"/>
      <c r="T92" s="100" t="str">
        <f>'50% Exceedance Baseline'!T92</f>
        <v>Flow target surplus or deficit after input</v>
      </c>
      <c r="U92" s="119"/>
    </row>
    <row r="93" spans="2:21" s="4" customFormat="1" x14ac:dyDescent="0.25">
      <c r="B93" s="81" t="s">
        <v>23</v>
      </c>
      <c r="C93" s="18">
        <f t="shared" ref="C93:F93" si="47">SUM(C85+C88+C91)</f>
        <v>0</v>
      </c>
      <c r="D93" s="18">
        <f t="shared" si="47"/>
        <v>0</v>
      </c>
      <c r="E93" s="18">
        <f t="shared" si="47"/>
        <v>0</v>
      </c>
      <c r="F93" s="18">
        <f t="shared" si="47"/>
        <v>0</v>
      </c>
      <c r="G93" s="18">
        <f>SUM(G85+G88+G91)</f>
        <v>0</v>
      </c>
      <c r="H93" s="18">
        <f t="shared" ref="H93:N93" si="48">SUM(H85+H88+H91)</f>
        <v>0</v>
      </c>
      <c r="I93" s="18">
        <f t="shared" si="48"/>
        <v>0</v>
      </c>
      <c r="J93" s="18">
        <f t="shared" si="48"/>
        <v>0</v>
      </c>
      <c r="K93" s="18">
        <f t="shared" si="48"/>
        <v>0</v>
      </c>
      <c r="L93" s="18">
        <f t="shared" si="48"/>
        <v>0</v>
      </c>
      <c r="M93" s="18">
        <f t="shared" si="48"/>
        <v>0</v>
      </c>
      <c r="N93" s="18">
        <f t="shared" si="48"/>
        <v>0</v>
      </c>
      <c r="O93" s="18">
        <f>SUM(O85+O88+O91)</f>
        <v>0</v>
      </c>
      <c r="P93" s="18">
        <f>SUM(P85+P88+P91)</f>
        <v>0</v>
      </c>
      <c r="Q93" s="18">
        <f>SUM(Q85+Q88+Q91)</f>
        <v>0</v>
      </c>
      <c r="R93" s="17">
        <f>SUM(R85+R88+R91)</f>
        <v>0</v>
      </c>
      <c r="S93" s="18"/>
      <c r="T93" s="100" t="str">
        <f>'50% Exceedance Baseline'!T93</f>
        <v>Subtotal of all inputs in Pepper Bridge to Beet Road reach</v>
      </c>
      <c r="U93" s="119"/>
    </row>
    <row r="94" spans="2:21" s="26" customFormat="1" ht="15.75" thickBot="1" x14ac:dyDescent="0.3">
      <c r="B94" s="80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7"/>
      <c r="S94" s="18"/>
      <c r="T94" s="100"/>
      <c r="U94" s="25"/>
    </row>
    <row r="95" spans="2:21" s="64" customFormat="1" ht="15.75" thickBot="1" x14ac:dyDescent="0.3">
      <c r="B95" s="70" t="s">
        <v>69</v>
      </c>
      <c r="C95" s="69">
        <f>'50% Exceedance Baseline'!C95</f>
        <v>-0.107</v>
      </c>
      <c r="D95" s="69">
        <f>'50% Exceedance Baseline'!D95</f>
        <v>-0.107</v>
      </c>
      <c r="E95" s="69">
        <f>'50% Exceedance Baseline'!E95</f>
        <v>-0.107</v>
      </c>
      <c r="F95" s="69">
        <f>'50% Exceedance Baseline'!F95</f>
        <v>-0.107</v>
      </c>
      <c r="G95" s="69">
        <f>'50% Exceedance Baseline'!G95</f>
        <v>-0.107</v>
      </c>
      <c r="H95" s="69">
        <f>'50% Exceedance Baseline'!H95</f>
        <v>-0.107</v>
      </c>
      <c r="I95" s="82">
        <f>'50% Exceedance Baseline'!I95</f>
        <v>1.6E-2</v>
      </c>
      <c r="J95" s="82">
        <f>'50% Exceedance Baseline'!J95</f>
        <v>1.6E-2</v>
      </c>
      <c r="K95" s="69">
        <f>'50% Exceedance Baseline'!K95</f>
        <v>-1.9E-2</v>
      </c>
      <c r="L95" s="69">
        <f>'50% Exceedance Baseline'!L95</f>
        <v>-1.9E-2</v>
      </c>
      <c r="M95" s="69">
        <f>'50% Exceedance Baseline'!M95</f>
        <v>-4.2999999999999997E-2</v>
      </c>
      <c r="N95" s="69">
        <f>'50% Exceedance Baseline'!N95</f>
        <v>-4.2999999999999997E-2</v>
      </c>
      <c r="O95" s="69">
        <f>'50% Exceedance Baseline'!O95</f>
        <v>-2.7E-2</v>
      </c>
      <c r="P95" s="69">
        <f>'50% Exceedance Baseline'!P95</f>
        <v>-2.7E-2</v>
      </c>
      <c r="Q95" s="69">
        <f>'50% Exceedance Baseline'!Q95</f>
        <v>-3.3000000000000002E-2</v>
      </c>
      <c r="R95" s="69">
        <f>'50% Exceedance Baseline'!R95</f>
        <v>-3.3000000000000002E-2</v>
      </c>
      <c r="S95" s="107"/>
      <c r="T95" s="100" t="str">
        <f>'50% Exceedance Baseline'!T95</f>
        <v>Percentage total inputs lost or gained due to streambed hydrology (2002-2015 WWBWC seepage data)</v>
      </c>
      <c r="U95" s="83"/>
    </row>
    <row r="96" spans="2:21" x14ac:dyDescent="0.25">
      <c r="B96" s="84" t="s">
        <v>20</v>
      </c>
      <c r="C96" s="57">
        <f>SUM(C93+C72)*(1+C95)</f>
        <v>0</v>
      </c>
      <c r="D96" s="57">
        <f t="shared" ref="D96:N96" si="49">SUM(D93+D72)*(1+D95)</f>
        <v>0</v>
      </c>
      <c r="E96" s="57">
        <f t="shared" si="49"/>
        <v>0</v>
      </c>
      <c r="F96" s="57">
        <f t="shared" si="49"/>
        <v>28.909624799999996</v>
      </c>
      <c r="G96" s="57">
        <f t="shared" si="49"/>
        <v>76.152182400000001</v>
      </c>
      <c r="H96" s="57">
        <f t="shared" si="49"/>
        <v>59.934587999999991</v>
      </c>
      <c r="I96" s="57">
        <f t="shared" si="49"/>
        <v>49.395847360000005</v>
      </c>
      <c r="J96" s="57">
        <f t="shared" si="49"/>
        <v>48.700131200000001</v>
      </c>
      <c r="K96" s="57">
        <f t="shared" si="49"/>
        <v>41.993078400000002</v>
      </c>
      <c r="L96" s="57">
        <f t="shared" si="49"/>
        <v>42.649220249999992</v>
      </c>
      <c r="M96" s="57">
        <f t="shared" si="49"/>
        <v>43.437737145</v>
      </c>
      <c r="N96" s="57">
        <f t="shared" si="49"/>
        <v>44.086061579999999</v>
      </c>
      <c r="O96" s="57">
        <f>SUM(O93+O72)*(1+O95)</f>
        <v>40.621776999999994</v>
      </c>
      <c r="P96" s="57">
        <f>SUM(P93+P72)*(1+P95)</f>
        <v>42.24664808</v>
      </c>
      <c r="Q96" s="57">
        <f>SUM(Q93+Q72)*(1+Q95)</f>
        <v>41.804785074000009</v>
      </c>
      <c r="R96" s="58">
        <f t="shared" ref="R96" si="50">SUM(R93+R72)*(1+R95)</f>
        <v>29.703399921000003</v>
      </c>
      <c r="S96" s="110"/>
      <c r="T96" s="100" t="str">
        <f>'50% Exceedance Baseline'!T96</f>
        <v>Total of all upstream input flow adjusted for streambed loss or gain</v>
      </c>
    </row>
    <row r="97" spans="2:22" s="12" customFormat="1" ht="15.75" thickBot="1" x14ac:dyDescent="0.3">
      <c r="B97" s="71" t="s">
        <v>120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110"/>
      <c r="T97" s="100"/>
    </row>
    <row r="98" spans="2:22" s="4" customFormat="1" ht="15.75" thickBot="1" x14ac:dyDescent="0.3">
      <c r="B98" s="24" t="s">
        <v>55</v>
      </c>
      <c r="C98" s="123">
        <f>'50% Exceedance Baseline'!C98</f>
        <v>340.65885420000001</v>
      </c>
      <c r="D98" s="123">
        <f>'50% Exceedance Baseline'!D98</f>
        <v>277.40364579999999</v>
      </c>
      <c r="E98" s="123">
        <f>'50% Exceedance Baseline'!E98</f>
        <v>259.20572920000001</v>
      </c>
      <c r="F98" s="123">
        <f>'50% Exceedance Baseline'!F98</f>
        <v>202.00260420000001</v>
      </c>
      <c r="G98" s="123">
        <f>'50% Exceedance Baseline'!G98</f>
        <v>75.381249999999994</v>
      </c>
      <c r="H98" s="123">
        <f>'50% Exceedance Baseline'!H98</f>
        <v>40.186197919999998</v>
      </c>
      <c r="I98" s="123">
        <f>'50% Exceedance Baseline'!I98</f>
        <v>30.301562499999999</v>
      </c>
      <c r="J98" s="123">
        <f>'50% Exceedance Baseline'!J98</f>
        <v>34.500260419999996</v>
      </c>
      <c r="K98" s="123">
        <f>'50% Exceedance Baseline'!K98</f>
        <v>34.303645830000001</v>
      </c>
      <c r="L98" s="123">
        <f>'50% Exceedance Baseline'!L98</f>
        <v>35.037500000000001</v>
      </c>
      <c r="M98" s="123">
        <f>'50% Exceedance Baseline'!M98</f>
        <v>42.868749999999999</v>
      </c>
      <c r="N98" s="123">
        <f>'50% Exceedance Baseline'!N98</f>
        <v>48.903906249999999</v>
      </c>
      <c r="O98" s="123">
        <f>'50% Exceedance Baseline'!O98</f>
        <v>28.677604169999999</v>
      </c>
      <c r="P98" s="123">
        <f>'50% Exceedance Baseline'!P98</f>
        <v>23.118749999999999</v>
      </c>
      <c r="Q98" s="123">
        <f>'50% Exceedance Baseline'!Q98</f>
        <v>23.54322917</v>
      </c>
      <c r="R98" s="123">
        <f>'50% Exceedance Baseline'!R98</f>
        <v>36.065624999999997</v>
      </c>
      <c r="S98" s="19"/>
      <c r="T98" s="100" t="str">
        <f>'50% Exceedance Baseline'!T98</f>
        <v>Median flow data at S-109 gage (2002-2016)</v>
      </c>
      <c r="U98" s="119"/>
    </row>
    <row r="99" spans="2:22" x14ac:dyDescent="0.25">
      <c r="B99" s="47" t="s">
        <v>39</v>
      </c>
      <c r="C99" s="48">
        <f>(C98+C96)+C97</f>
        <v>340.65885420000001</v>
      </c>
      <c r="D99" s="48">
        <f t="shared" ref="D99:R99" si="51">(D98+D96)+D97</f>
        <v>277.40364579999999</v>
      </c>
      <c r="E99" s="48">
        <f t="shared" si="51"/>
        <v>259.20572920000001</v>
      </c>
      <c r="F99" s="48">
        <f t="shared" si="51"/>
        <v>230.912229</v>
      </c>
      <c r="G99" s="48">
        <f t="shared" si="51"/>
        <v>151.53343239999998</v>
      </c>
      <c r="H99" s="48">
        <f t="shared" si="51"/>
        <v>100.12078591999999</v>
      </c>
      <c r="I99" s="48">
        <f t="shared" si="51"/>
        <v>79.697409860000008</v>
      </c>
      <c r="J99" s="48">
        <f t="shared" si="51"/>
        <v>83.200391620000005</v>
      </c>
      <c r="K99" s="48">
        <f t="shared" si="51"/>
        <v>76.296724229999995</v>
      </c>
      <c r="L99" s="48">
        <f t="shared" si="51"/>
        <v>77.686720249999993</v>
      </c>
      <c r="M99" s="48">
        <f t="shared" si="51"/>
        <v>86.306487145000006</v>
      </c>
      <c r="N99" s="48">
        <f t="shared" si="51"/>
        <v>92.989967829999998</v>
      </c>
      <c r="O99" s="48">
        <f t="shared" si="51"/>
        <v>69.29938116999999</v>
      </c>
      <c r="P99" s="48">
        <f t="shared" si="51"/>
        <v>65.365398080000006</v>
      </c>
      <c r="Q99" s="133">
        <f t="shared" si="51"/>
        <v>65.348014244000012</v>
      </c>
      <c r="R99" s="49">
        <f t="shared" si="51"/>
        <v>65.769024920999996</v>
      </c>
      <c r="S99" s="111"/>
      <c r="T99" s="100" t="str">
        <f>'50% Exceedance Baseline'!T99</f>
        <v>Flow gage data plus cumulative inputs adjusted for streambed loss or gain</v>
      </c>
    </row>
    <row r="100" spans="2:22" x14ac:dyDescent="0.25">
      <c r="B100" s="10" t="s">
        <v>8</v>
      </c>
      <c r="C100" s="8">
        <f>$C$16</f>
        <v>150</v>
      </c>
      <c r="D100" s="8">
        <f>$D$16</f>
        <v>150</v>
      </c>
      <c r="E100" s="8">
        <f>$E$16</f>
        <v>150</v>
      </c>
      <c r="F100" s="8">
        <f>$F$16</f>
        <v>150</v>
      </c>
      <c r="G100" s="8">
        <f>$G$16</f>
        <v>150</v>
      </c>
      <c r="H100" s="8">
        <f>$H$16</f>
        <v>100</v>
      </c>
      <c r="I100" s="8">
        <f>$I$16</f>
        <v>65</v>
      </c>
      <c r="J100" s="8">
        <f>$J$16</f>
        <v>65</v>
      </c>
      <c r="K100" s="8">
        <f>$K$16</f>
        <v>65</v>
      </c>
      <c r="L100" s="8">
        <f>$L$16</f>
        <v>65</v>
      </c>
      <c r="M100" s="8">
        <f>$M$16</f>
        <v>65</v>
      </c>
      <c r="N100" s="8">
        <f>$N$16</f>
        <v>65</v>
      </c>
      <c r="O100" s="8">
        <f>$O$16</f>
        <v>65</v>
      </c>
      <c r="P100" s="8">
        <f>$P$16</f>
        <v>65</v>
      </c>
      <c r="Q100" s="8">
        <f>$Q$16</f>
        <v>65</v>
      </c>
      <c r="R100" s="9">
        <f>$R$16</f>
        <v>65</v>
      </c>
      <c r="S100" s="112"/>
      <c r="T100" s="100" t="str">
        <f>'50% Exceedance Baseline'!T100</f>
        <v>Target flows</v>
      </c>
    </row>
    <row r="101" spans="2:22" ht="15.75" thickBot="1" x14ac:dyDescent="0.3">
      <c r="B101" s="37" t="s">
        <v>13</v>
      </c>
      <c r="C101" s="38">
        <f>IF(C99&gt;C100,0,(C100-C99)*-1)</f>
        <v>0</v>
      </c>
      <c r="D101" s="38">
        <f t="shared" ref="D101:E101" si="52">IF(D99&gt;D100,0,(D100-D99)*-1)</f>
        <v>0</v>
      </c>
      <c r="E101" s="38">
        <f t="shared" si="52"/>
        <v>0</v>
      </c>
      <c r="F101" s="38">
        <f>IF(F99&gt;F100,0,(F100-F99)*-1)</f>
        <v>0</v>
      </c>
      <c r="G101" s="38">
        <f t="shared" ref="G101:N101" si="53">IF(G99&gt;G100,0,(G100-G99)*-1)</f>
        <v>0</v>
      </c>
      <c r="H101" s="38">
        <f t="shared" si="53"/>
        <v>0</v>
      </c>
      <c r="I101" s="38">
        <f t="shared" si="53"/>
        <v>0</v>
      </c>
      <c r="J101" s="38">
        <f t="shared" si="53"/>
        <v>0</v>
      </c>
      <c r="K101" s="38">
        <f t="shared" si="53"/>
        <v>0</v>
      </c>
      <c r="L101" s="38">
        <f t="shared" si="53"/>
        <v>0</v>
      </c>
      <c r="M101" s="38">
        <f t="shared" si="53"/>
        <v>0</v>
      </c>
      <c r="N101" s="38">
        <f t="shared" si="53"/>
        <v>0</v>
      </c>
      <c r="O101" s="38">
        <f>IF(O99&gt;O100,0,(O100-O99)*-1)</f>
        <v>0</v>
      </c>
      <c r="P101" s="38">
        <f>IF(P99&gt;P100,0,(P100-P99)*-1)</f>
        <v>0</v>
      </c>
      <c r="Q101" s="38">
        <f>IF(Q99&gt;Q100,0,(Q100-Q99)*-1)</f>
        <v>0</v>
      </c>
      <c r="R101" s="39">
        <f>IF(R99&gt;R100,0,(R100-R99)*-1)</f>
        <v>0</v>
      </c>
      <c r="S101" s="105"/>
      <c r="T101" s="100" t="str">
        <f>'50% Exceedance Baseline'!T101</f>
        <v>Deficit between target flows and flow gage data plus total adjusted inputs</v>
      </c>
    </row>
    <row r="102" spans="2:22" x14ac:dyDescent="0.25">
      <c r="B102" s="40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105"/>
    </row>
    <row r="103" spans="2:22" x14ac:dyDescent="0.25">
      <c r="B103" s="35" t="s">
        <v>101</v>
      </c>
      <c r="C103" s="34">
        <f>C119-C98</f>
        <v>140.34114579999999</v>
      </c>
      <c r="D103" s="34">
        <f t="shared" ref="D103:N103" si="54">D119-D98</f>
        <v>87.096354200000007</v>
      </c>
      <c r="E103" s="34">
        <f t="shared" si="54"/>
        <v>112.29427079999999</v>
      </c>
      <c r="F103" s="34">
        <f t="shared" si="54"/>
        <v>13.997395799999993</v>
      </c>
      <c r="G103" s="34">
        <f t="shared" si="54"/>
        <v>40.618750000000006</v>
      </c>
      <c r="H103" s="34">
        <f t="shared" si="54"/>
        <v>29.613802079999999</v>
      </c>
      <c r="I103" s="34">
        <f t="shared" si="54"/>
        <v>8.9984374999999979</v>
      </c>
      <c r="J103" s="34">
        <f t="shared" si="54"/>
        <v>3.6997395800000064</v>
      </c>
      <c r="K103" s="34">
        <f t="shared" si="54"/>
        <v>4.5463541700000007</v>
      </c>
      <c r="L103" s="34">
        <f t="shared" si="54"/>
        <v>7.3624999999999972</v>
      </c>
      <c r="M103" s="34">
        <f t="shared" si="54"/>
        <v>8.03125</v>
      </c>
      <c r="N103" s="34">
        <f t="shared" si="54"/>
        <v>9.0460937500000043</v>
      </c>
      <c r="O103" s="34">
        <f>O119-O98</f>
        <v>16.322395830000001</v>
      </c>
      <c r="P103" s="34">
        <f>P119-P98</f>
        <v>25.581250000000004</v>
      </c>
      <c r="Q103" s="34">
        <f>Q119-Q98</f>
        <v>37.456770829999996</v>
      </c>
      <c r="R103" s="34">
        <f>R119-R98</f>
        <v>56.634375000000006</v>
      </c>
      <c r="S103" s="63"/>
      <c r="T103" s="100" t="str">
        <f>'50% Exceedance Baseline'!T103</f>
        <v>Detour gaging data minus Beet Road gaging data</v>
      </c>
    </row>
    <row r="104" spans="2:22" s="12" customFormat="1" x14ac:dyDescent="0.25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100"/>
      <c r="U104" s="13"/>
    </row>
    <row r="105" spans="2:22" ht="15.75" thickBot="1" x14ac:dyDescent="0.3">
      <c r="B105" s="64" t="s">
        <v>65</v>
      </c>
      <c r="C105" s="22">
        <f>IF(C109&gt;0,10,0)</f>
        <v>0</v>
      </c>
      <c r="D105" s="22">
        <f t="shared" ref="D105:R105" si="55">IF(D109&gt;0,10,0)</f>
        <v>0</v>
      </c>
      <c r="E105" s="22">
        <f t="shared" si="55"/>
        <v>0</v>
      </c>
      <c r="F105" s="22">
        <f t="shared" si="55"/>
        <v>10</v>
      </c>
      <c r="G105" s="22">
        <f t="shared" si="55"/>
        <v>10</v>
      </c>
      <c r="H105" s="22">
        <f t="shared" si="55"/>
        <v>10</v>
      </c>
      <c r="I105" s="22">
        <f t="shared" si="55"/>
        <v>0</v>
      </c>
      <c r="J105" s="22">
        <f t="shared" si="55"/>
        <v>0</v>
      </c>
      <c r="K105" s="22">
        <f t="shared" si="55"/>
        <v>0</v>
      </c>
      <c r="L105" s="22">
        <f t="shared" si="55"/>
        <v>0</v>
      </c>
      <c r="M105" s="22">
        <f t="shared" si="55"/>
        <v>0</v>
      </c>
      <c r="N105" s="22">
        <f t="shared" si="55"/>
        <v>0</v>
      </c>
      <c r="O105" s="22">
        <f t="shared" si="55"/>
        <v>10</v>
      </c>
      <c r="P105" s="22">
        <f t="shared" si="55"/>
        <v>10</v>
      </c>
      <c r="Q105" s="22">
        <f t="shared" si="55"/>
        <v>0</v>
      </c>
      <c r="R105" s="22">
        <f t="shared" si="55"/>
        <v>0</v>
      </c>
      <c r="S105" s="110"/>
      <c r="T105" s="101" t="s">
        <v>118</v>
      </c>
      <c r="U105" s="139">
        <f>SUM(C105:R105)*15*1.9835</f>
        <v>1487.625</v>
      </c>
      <c r="V105" s="11" t="s">
        <v>122</v>
      </c>
    </row>
    <row r="106" spans="2:22" ht="15.75" thickBot="1" x14ac:dyDescent="0.3">
      <c r="B106" s="72" t="s">
        <v>119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105"/>
      <c r="T106" s="100" t="str">
        <f>'50% Exceedance Baseline'!T106</f>
        <v>Flow input between Mgt. Pt. 4 and Mgt. Pt. 5</v>
      </c>
    </row>
    <row r="107" spans="2:22" x14ac:dyDescent="0.25">
      <c r="B107" s="79" t="s">
        <v>7</v>
      </c>
      <c r="C107" s="16">
        <f>IF(C121&gt;C120,((C121-C120)*-1),((C120-C121)))</f>
        <v>331</v>
      </c>
      <c r="D107" s="16">
        <f t="shared" ref="D107:E107" si="56">IF(D121&gt;D120,((D121-D120)*-1),((D120-D121)))</f>
        <v>214.5</v>
      </c>
      <c r="E107" s="16">
        <f t="shared" si="56"/>
        <v>221.5</v>
      </c>
      <c r="F107" s="16">
        <f>IF(F121&gt;F120,((F121-F120)*-1),((F120-F121)))</f>
        <v>129.45736541999997</v>
      </c>
      <c r="G107" s="16">
        <f>IF(G121&gt;G120,((G121-G120)*-1),((G120-G121)))</f>
        <v>79.930986959999984</v>
      </c>
      <c r="H107" s="16">
        <f t="shared" ref="H107:R107" si="57">IF(H121&gt;H120,((H121-H120)*-1),((H120-H121)))</f>
        <v>35.332952699999964</v>
      </c>
      <c r="I107" s="16">
        <f t="shared" si="57"/>
        <v>25.474097864960001</v>
      </c>
      <c r="J107" s="16">
        <f t="shared" si="57"/>
        <v>23.653335923200004</v>
      </c>
      <c r="K107" s="16">
        <f t="shared" si="57"/>
        <v>13.281500617600003</v>
      </c>
      <c r="L107" s="16">
        <f t="shared" si="57"/>
        <v>17.447617814750004</v>
      </c>
      <c r="M107" s="16">
        <f t="shared" si="57"/>
        <v>28.946797510695006</v>
      </c>
      <c r="N107" s="16">
        <f t="shared" si="57"/>
        <v>36.639287025779993</v>
      </c>
      <c r="O107" s="16">
        <f t="shared" si="57"/>
        <v>30.165043549999993</v>
      </c>
      <c r="P107" s="16">
        <f t="shared" si="57"/>
        <v>35.733645292000006</v>
      </c>
      <c r="Q107" s="16">
        <f t="shared" si="57"/>
        <v>32.871820435268006</v>
      </c>
      <c r="R107" s="14">
        <f t="shared" si="57"/>
        <v>53.898398730322</v>
      </c>
      <c r="S107" s="18"/>
      <c r="T107" s="100" t="str">
        <f>'50% Exceedance Baseline'!T107</f>
        <v>Flow target surplus or deficit after input</v>
      </c>
    </row>
    <row r="108" spans="2:22" ht="15.75" thickBot="1" x14ac:dyDescent="0.3">
      <c r="B108" s="80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7"/>
      <c r="S108" s="18"/>
    </row>
    <row r="109" spans="2:22" ht="15.75" thickBot="1" x14ac:dyDescent="0.3">
      <c r="B109" s="73" t="s">
        <v>108</v>
      </c>
      <c r="C109" s="46">
        <v>0</v>
      </c>
      <c r="D109" s="46">
        <v>0</v>
      </c>
      <c r="E109" s="46">
        <v>0</v>
      </c>
      <c r="F109" s="46">
        <v>33</v>
      </c>
      <c r="G109" s="46">
        <v>35</v>
      </c>
      <c r="H109" s="46">
        <v>4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3</v>
      </c>
      <c r="P109" s="46">
        <v>3</v>
      </c>
      <c r="Q109" s="46">
        <v>0</v>
      </c>
      <c r="R109" s="46">
        <v>0</v>
      </c>
      <c r="S109" s="105"/>
      <c r="T109" s="100" t="str">
        <f>'50% Exceedance Baseline'!T109</f>
        <v>Flow input between Mgt. Pt. 4 and Mgt. Pt. 5</v>
      </c>
    </row>
    <row r="110" spans="2:22" x14ac:dyDescent="0.25">
      <c r="B110" s="79" t="s">
        <v>7</v>
      </c>
      <c r="C110" s="16">
        <f>IF(C121&gt;C120,((C121-C120)*-1),((C120-C121)))</f>
        <v>331</v>
      </c>
      <c r="D110" s="16">
        <f t="shared" ref="D110:R110" si="58">IF(D121&gt;D120,((D121-D120)*-1),((D120-D121)))</f>
        <v>214.5</v>
      </c>
      <c r="E110" s="16">
        <f t="shared" si="58"/>
        <v>221.5</v>
      </c>
      <c r="F110" s="16">
        <f t="shared" si="58"/>
        <v>129.45736541999997</v>
      </c>
      <c r="G110" s="16">
        <f t="shared" si="58"/>
        <v>79.930986959999984</v>
      </c>
      <c r="H110" s="16">
        <f t="shared" si="58"/>
        <v>35.332952699999964</v>
      </c>
      <c r="I110" s="16">
        <f t="shared" si="58"/>
        <v>25.474097864960001</v>
      </c>
      <c r="J110" s="16">
        <f t="shared" si="58"/>
        <v>23.653335923200004</v>
      </c>
      <c r="K110" s="16">
        <f t="shared" si="58"/>
        <v>13.281500617600003</v>
      </c>
      <c r="L110" s="16">
        <f t="shared" si="58"/>
        <v>17.447617814750004</v>
      </c>
      <c r="M110" s="16">
        <f t="shared" si="58"/>
        <v>28.946797510695006</v>
      </c>
      <c r="N110" s="16">
        <f t="shared" si="58"/>
        <v>36.639287025779993</v>
      </c>
      <c r="O110" s="16">
        <f t="shared" si="58"/>
        <v>30.165043549999993</v>
      </c>
      <c r="P110" s="16">
        <f t="shared" si="58"/>
        <v>35.733645292000006</v>
      </c>
      <c r="Q110" s="16">
        <f t="shared" si="58"/>
        <v>32.871820435268006</v>
      </c>
      <c r="R110" s="14">
        <f t="shared" si="58"/>
        <v>53.898398730322</v>
      </c>
      <c r="S110" s="18"/>
      <c r="T110" s="100" t="str">
        <f>'50% Exceedance Baseline'!T110</f>
        <v>Flow target surplus or deficit after input</v>
      </c>
    </row>
    <row r="111" spans="2:22" s="4" customFormat="1" ht="15.75" thickBot="1" x14ac:dyDescent="0.3">
      <c r="B111" s="135" t="s">
        <v>115</v>
      </c>
      <c r="C111" s="136">
        <f t="shared" ref="C111:R111" si="59">C109*15*1.9835</f>
        <v>0</v>
      </c>
      <c r="D111" s="136">
        <f t="shared" si="59"/>
        <v>0</v>
      </c>
      <c r="E111" s="136">
        <f t="shared" si="59"/>
        <v>0</v>
      </c>
      <c r="F111" s="136">
        <f t="shared" si="59"/>
        <v>981.83249999999998</v>
      </c>
      <c r="G111" s="136">
        <f>G109*15*1.9835</f>
        <v>1041.3375000000001</v>
      </c>
      <c r="H111" s="136">
        <f t="shared" si="59"/>
        <v>119.01</v>
      </c>
      <c r="I111" s="136">
        <f t="shared" si="59"/>
        <v>0</v>
      </c>
      <c r="J111" s="136">
        <f t="shared" si="59"/>
        <v>0</v>
      </c>
      <c r="K111" s="136">
        <f t="shared" si="59"/>
        <v>0</v>
      </c>
      <c r="L111" s="136">
        <f t="shared" si="59"/>
        <v>0</v>
      </c>
      <c r="M111" s="136">
        <f t="shared" si="59"/>
        <v>0</v>
      </c>
      <c r="N111" s="136">
        <f t="shared" si="59"/>
        <v>0</v>
      </c>
      <c r="O111" s="136">
        <f t="shared" si="59"/>
        <v>89.257500000000007</v>
      </c>
      <c r="P111" s="136">
        <f t="shared" si="59"/>
        <v>89.257500000000007</v>
      </c>
      <c r="Q111" s="136">
        <f t="shared" si="59"/>
        <v>0</v>
      </c>
      <c r="R111" s="137">
        <f t="shared" si="59"/>
        <v>0</v>
      </c>
      <c r="S111" s="136"/>
      <c r="T111" s="101" t="s">
        <v>118</v>
      </c>
      <c r="U111" s="139">
        <f>SUM(C111:R111)</f>
        <v>2320.6950000000006</v>
      </c>
    </row>
    <row r="112" spans="2:22" ht="15.75" thickBot="1" x14ac:dyDescent="0.3">
      <c r="B112" s="73" t="s">
        <v>60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121">
        <v>0</v>
      </c>
      <c r="R112" s="46">
        <v>0</v>
      </c>
      <c r="S112" s="105"/>
      <c r="T112" s="100" t="str">
        <f>'50% Exceedance Baseline'!T112</f>
        <v>Flow input between Mgt. Pt. 4 and Mgt. Pt. 5</v>
      </c>
    </row>
    <row r="113" spans="2:22" x14ac:dyDescent="0.25">
      <c r="B113" s="79" t="s">
        <v>7</v>
      </c>
      <c r="C113" s="16">
        <f>IF(C121&gt;C120,((C121-C120)*-1),((C120-C121)))</f>
        <v>331</v>
      </c>
      <c r="D113" s="16">
        <f t="shared" ref="D113" si="60">IF(D121&gt;D120,((D121-D120)*-1),((D120-D121)))</f>
        <v>214.5</v>
      </c>
      <c r="E113" s="16">
        <f>IF(E121&gt;E120,((E121-E120)*-1),((E120-E121)))</f>
        <v>221.5</v>
      </c>
      <c r="F113" s="16">
        <f t="shared" ref="F113:R113" si="61">IF(F121&gt;F120,((F121-F120)*-1),((F120-F121)))</f>
        <v>129.45736541999997</v>
      </c>
      <c r="G113" s="16">
        <f t="shared" si="61"/>
        <v>79.930986959999984</v>
      </c>
      <c r="H113" s="16">
        <f t="shared" si="61"/>
        <v>35.332952699999964</v>
      </c>
      <c r="I113" s="16">
        <f t="shared" si="61"/>
        <v>25.474097864960001</v>
      </c>
      <c r="J113" s="16">
        <f t="shared" si="61"/>
        <v>23.653335923200004</v>
      </c>
      <c r="K113" s="16">
        <f t="shared" si="61"/>
        <v>13.281500617600003</v>
      </c>
      <c r="L113" s="16">
        <f t="shared" si="61"/>
        <v>17.447617814750004</v>
      </c>
      <c r="M113" s="16">
        <f t="shared" si="61"/>
        <v>28.946797510695006</v>
      </c>
      <c r="N113" s="16">
        <f t="shared" si="61"/>
        <v>36.639287025779993</v>
      </c>
      <c r="O113" s="16">
        <f t="shared" si="61"/>
        <v>30.165043549999993</v>
      </c>
      <c r="P113" s="16">
        <f t="shared" si="61"/>
        <v>35.733645292000006</v>
      </c>
      <c r="Q113" s="16">
        <f t="shared" si="61"/>
        <v>32.871820435268006</v>
      </c>
      <c r="R113" s="14">
        <f t="shared" si="61"/>
        <v>53.898398730322</v>
      </c>
      <c r="S113" s="18"/>
      <c r="T113" s="100" t="str">
        <f>'50% Exceedance Baseline'!T113</f>
        <v>Flow target surplus or deficit after input</v>
      </c>
    </row>
    <row r="114" spans="2:22" s="11" customFormat="1" x14ac:dyDescent="0.25">
      <c r="B114" s="81" t="s">
        <v>24</v>
      </c>
      <c r="C114" s="18">
        <f>SUM(C106+C109+C112)</f>
        <v>0</v>
      </c>
      <c r="D114" s="18">
        <f t="shared" ref="D114:F114" si="62">SUM(D106+D109+D112)</f>
        <v>0</v>
      </c>
      <c r="E114" s="18">
        <f t="shared" si="62"/>
        <v>0</v>
      </c>
      <c r="F114" s="18">
        <f t="shared" si="62"/>
        <v>33</v>
      </c>
      <c r="G114" s="18">
        <f>SUM(G106+G109+G112)</f>
        <v>35</v>
      </c>
      <c r="H114" s="18">
        <f t="shared" ref="H114:N114" si="63">SUM(H106+H109+H112)</f>
        <v>4</v>
      </c>
      <c r="I114" s="18">
        <f t="shared" si="63"/>
        <v>0</v>
      </c>
      <c r="J114" s="18">
        <f t="shared" si="63"/>
        <v>0</v>
      </c>
      <c r="K114" s="18">
        <f t="shared" si="63"/>
        <v>0</v>
      </c>
      <c r="L114" s="18">
        <f t="shared" si="63"/>
        <v>0</v>
      </c>
      <c r="M114" s="18">
        <f t="shared" si="63"/>
        <v>0</v>
      </c>
      <c r="N114" s="18">
        <f t="shared" si="63"/>
        <v>0</v>
      </c>
      <c r="O114" s="18">
        <f>SUM(O106+O109+O112)</f>
        <v>3</v>
      </c>
      <c r="P114" s="18">
        <f>SUM(P106+P109+P112)</f>
        <v>3</v>
      </c>
      <c r="Q114" s="18">
        <f>SUM(Q106+Q109+Q112)</f>
        <v>0</v>
      </c>
      <c r="R114" s="17">
        <f>SUM(R106+R109+R112)</f>
        <v>0</v>
      </c>
      <c r="S114" s="18"/>
      <c r="T114" s="100" t="str">
        <f>'50% Exceedance Baseline'!T114</f>
        <v>Subtotal of all inputs in Beet Road to Detour Road reach</v>
      </c>
      <c r="U114" s="8"/>
    </row>
    <row r="115" spans="2:22" ht="15.75" thickBot="1" x14ac:dyDescent="0.3">
      <c r="B115" s="80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7"/>
      <c r="S115" s="18"/>
    </row>
    <row r="116" spans="2:22" s="64" customFormat="1" ht="15.75" thickBot="1" x14ac:dyDescent="0.3">
      <c r="B116" s="70" t="s">
        <v>69</v>
      </c>
      <c r="C116" s="82">
        <f>'50% Exceedance Baseline'!C116</f>
        <v>2.5000000000000001E-2</v>
      </c>
      <c r="D116" s="82">
        <f>'50% Exceedance Baseline'!D116</f>
        <v>2.5000000000000001E-2</v>
      </c>
      <c r="E116" s="82">
        <f>'50% Exceedance Baseline'!E116</f>
        <v>2.5000000000000001E-2</v>
      </c>
      <c r="F116" s="82">
        <f>'50% Exceedance Baseline'!F116</f>
        <v>2.5000000000000001E-2</v>
      </c>
      <c r="G116" s="82">
        <f>'50% Exceedance Baseline'!G116</f>
        <v>2.5000000000000001E-2</v>
      </c>
      <c r="H116" s="82">
        <f>'50% Exceedance Baseline'!H116</f>
        <v>2.5000000000000001E-2</v>
      </c>
      <c r="I116" s="82">
        <f>'50% Exceedance Baseline'!I116</f>
        <v>3.5999999999999997E-2</v>
      </c>
      <c r="J116" s="82">
        <f>'50% Exceedance Baseline'!J116</f>
        <v>3.5999999999999997E-2</v>
      </c>
      <c r="K116" s="69">
        <f>'50% Exceedance Baseline'!K116</f>
        <v>-6.0999999999999999E-2</v>
      </c>
      <c r="L116" s="69">
        <f>'50% Exceedance Baseline'!L116</f>
        <v>-6.0999999999999999E-2</v>
      </c>
      <c r="M116" s="69">
        <f>'50% Exceedance Baseline'!M116</f>
        <v>-8.9999999999999993E-3</v>
      </c>
      <c r="N116" s="69">
        <f>'50% Exceedance Baseline'!N116</f>
        <v>-8.9999999999999993E-3</v>
      </c>
      <c r="O116" s="82">
        <f>'50% Exceedance Baseline'!O116</f>
        <v>0.15</v>
      </c>
      <c r="P116" s="82">
        <f>'50% Exceedance Baseline'!P116</f>
        <v>0.15</v>
      </c>
      <c r="Q116" s="69">
        <f>'50% Exceedance Baseline'!Q116</f>
        <v>-0.11799999999999999</v>
      </c>
      <c r="R116" s="69">
        <f>'50% Exceedance Baseline'!R116</f>
        <v>-0.11799999999999999</v>
      </c>
      <c r="S116" s="106"/>
      <c r="T116" s="100" t="str">
        <f>'50% Exceedance Baseline'!T116</f>
        <v>Percentage total inputs lost or gained due to streambed hydrology (2002-2015 WWBWC seepage data)</v>
      </c>
      <c r="U116" s="83"/>
    </row>
    <row r="117" spans="2:22" s="26" customFormat="1" x14ac:dyDescent="0.25">
      <c r="B117" s="84" t="s">
        <v>20</v>
      </c>
      <c r="C117" s="57">
        <f>SUM(C114+C96)*(1+C116)</f>
        <v>0</v>
      </c>
      <c r="D117" s="57">
        <f t="shared" ref="D117:N117" si="64">SUM(D114+D96)*(1+D116)</f>
        <v>0</v>
      </c>
      <c r="E117" s="57">
        <f t="shared" si="64"/>
        <v>0</v>
      </c>
      <c r="F117" s="57">
        <f t="shared" si="64"/>
        <v>63.457365419999988</v>
      </c>
      <c r="G117" s="57">
        <f t="shared" si="64"/>
        <v>113.93098695999998</v>
      </c>
      <c r="H117" s="57">
        <f t="shared" si="64"/>
        <v>65.532952699999981</v>
      </c>
      <c r="I117" s="57">
        <f t="shared" si="64"/>
        <v>51.174097864960004</v>
      </c>
      <c r="J117" s="57">
        <f t="shared" si="64"/>
        <v>50.453335923200001</v>
      </c>
      <c r="K117" s="57">
        <f t="shared" si="64"/>
        <v>39.431500617600001</v>
      </c>
      <c r="L117" s="57">
        <f t="shared" si="64"/>
        <v>40.047617814749998</v>
      </c>
      <c r="M117" s="57">
        <f t="shared" si="64"/>
        <v>43.046797510695001</v>
      </c>
      <c r="N117" s="57">
        <f t="shared" si="64"/>
        <v>43.689287025779997</v>
      </c>
      <c r="O117" s="57">
        <f>SUM(O114+O96)*(1+O116)</f>
        <v>50.165043549999993</v>
      </c>
      <c r="P117" s="122">
        <f>SUM(P114+P96)*(1+P116)</f>
        <v>52.033645291999996</v>
      </c>
      <c r="Q117" s="57">
        <f>SUM(Q114+Q96)*(1+Q116)</f>
        <v>36.871820435268006</v>
      </c>
      <c r="R117" s="68">
        <f>SUM(R114+R96)*(1+R116)</f>
        <v>26.198398730322001</v>
      </c>
      <c r="S117" s="110"/>
      <c r="T117" s="100" t="str">
        <f>'50% Exceedance Baseline'!T117</f>
        <v>Total of all upstream input flow adjusted for streambed loss or gain</v>
      </c>
      <c r="U117" s="25"/>
    </row>
    <row r="118" spans="2:22" ht="15.75" thickBot="1" x14ac:dyDescent="0.3">
      <c r="B118" s="7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3"/>
      <c r="S118" s="110"/>
    </row>
    <row r="119" spans="2:22" ht="16.5" thickBot="1" x14ac:dyDescent="0.3">
      <c r="B119" s="41" t="s">
        <v>56</v>
      </c>
      <c r="C119" s="123">
        <v>481</v>
      </c>
      <c r="D119" s="123">
        <v>364.5</v>
      </c>
      <c r="E119" s="123">
        <v>371.5</v>
      </c>
      <c r="F119" s="123">
        <v>216</v>
      </c>
      <c r="G119" s="123">
        <v>116</v>
      </c>
      <c r="H119" s="123">
        <v>69.8</v>
      </c>
      <c r="I119" s="123">
        <v>39.299999999999997</v>
      </c>
      <c r="J119" s="123">
        <v>38.200000000000003</v>
      </c>
      <c r="K119" s="123">
        <v>38.85</v>
      </c>
      <c r="L119" s="123">
        <v>42.4</v>
      </c>
      <c r="M119" s="123">
        <v>50.9</v>
      </c>
      <c r="N119" s="123">
        <v>57.95</v>
      </c>
      <c r="O119" s="123">
        <v>45</v>
      </c>
      <c r="P119" s="123">
        <v>48.7</v>
      </c>
      <c r="Q119" s="123">
        <v>61</v>
      </c>
      <c r="R119" s="123">
        <v>92.7</v>
      </c>
      <c r="S119" s="109"/>
      <c r="T119" s="100" t="str">
        <f>'50% Exceedance Baseline'!T119</f>
        <v>Median flow data at S-110 gage (2002-2016)</v>
      </c>
    </row>
    <row r="120" spans="2:22" x14ac:dyDescent="0.25">
      <c r="B120" s="47" t="s">
        <v>40</v>
      </c>
      <c r="C120" s="48">
        <f>C119+C117</f>
        <v>481</v>
      </c>
      <c r="D120" s="48">
        <f t="shared" ref="D120:E120" si="65">D119+D117</f>
        <v>364.5</v>
      </c>
      <c r="E120" s="48">
        <f t="shared" si="65"/>
        <v>371.5</v>
      </c>
      <c r="F120" s="48">
        <f>F119+F117</f>
        <v>279.45736541999997</v>
      </c>
      <c r="G120" s="48">
        <f t="shared" ref="G120:H120" si="66">G119+G117</f>
        <v>229.93098695999998</v>
      </c>
      <c r="H120" s="48">
        <f t="shared" si="66"/>
        <v>135.33295269999996</v>
      </c>
      <c r="I120" s="48">
        <f>I119+I117</f>
        <v>90.474097864960001</v>
      </c>
      <c r="J120" s="48">
        <f t="shared" ref="J120:N120" si="67">J119+J117</f>
        <v>88.653335923200004</v>
      </c>
      <c r="K120" s="48">
        <f t="shared" si="67"/>
        <v>78.281500617600003</v>
      </c>
      <c r="L120" s="48">
        <f t="shared" si="67"/>
        <v>82.447617814750004</v>
      </c>
      <c r="M120" s="48">
        <f t="shared" si="67"/>
        <v>93.946797510695006</v>
      </c>
      <c r="N120" s="48">
        <f t="shared" si="67"/>
        <v>101.63928702577999</v>
      </c>
      <c r="O120" s="48">
        <f>O119+O117</f>
        <v>95.165043549999993</v>
      </c>
      <c r="P120" s="48">
        <f>P119+P117</f>
        <v>100.73364529200001</v>
      </c>
      <c r="Q120" s="48">
        <f>Q119+Q117</f>
        <v>97.871820435268006</v>
      </c>
      <c r="R120" s="49">
        <f>R119+R117</f>
        <v>118.898398730322</v>
      </c>
      <c r="S120" s="111"/>
      <c r="T120" s="100" t="str">
        <f>'50% Exceedance Baseline'!T120</f>
        <v>Flow gage data plus cumulative inputs adjusted for streambed loss or gain</v>
      </c>
    </row>
    <row r="121" spans="2:22" x14ac:dyDescent="0.25">
      <c r="B121" s="10" t="s">
        <v>8</v>
      </c>
      <c r="C121" s="8">
        <f>$C$16</f>
        <v>150</v>
      </c>
      <c r="D121" s="8">
        <f>$D$16</f>
        <v>150</v>
      </c>
      <c r="E121" s="8">
        <f>$E$16</f>
        <v>150</v>
      </c>
      <c r="F121" s="8">
        <f>$F$16</f>
        <v>150</v>
      </c>
      <c r="G121" s="8">
        <f>$G$16</f>
        <v>150</v>
      </c>
      <c r="H121" s="8">
        <f>$H$16</f>
        <v>100</v>
      </c>
      <c r="I121" s="8">
        <f>$I$16</f>
        <v>65</v>
      </c>
      <c r="J121" s="8">
        <f>$J$16</f>
        <v>65</v>
      </c>
      <c r="K121" s="8">
        <f>$K$16</f>
        <v>65</v>
      </c>
      <c r="L121" s="8">
        <f>$L$16</f>
        <v>65</v>
      </c>
      <c r="M121" s="8">
        <f>$M$16</f>
        <v>65</v>
      </c>
      <c r="N121" s="8">
        <f>$N$16</f>
        <v>65</v>
      </c>
      <c r="O121" s="8">
        <f>$O$16</f>
        <v>65</v>
      </c>
      <c r="P121" s="8">
        <f>$P$16</f>
        <v>65</v>
      </c>
      <c r="Q121" s="8">
        <f>$Q$16</f>
        <v>65</v>
      </c>
      <c r="R121" s="9">
        <f>$R$16</f>
        <v>65</v>
      </c>
      <c r="S121" s="112"/>
      <c r="T121" s="100" t="str">
        <f>'50% Exceedance Baseline'!T121</f>
        <v>Target flows</v>
      </c>
    </row>
    <row r="122" spans="2:22" ht="15.75" thickBot="1" x14ac:dyDescent="0.3">
      <c r="B122" s="37" t="s">
        <v>14</v>
      </c>
      <c r="C122" s="38">
        <f>IF(C120&gt;C121,0,(C121-C120)*-1)</f>
        <v>0</v>
      </c>
      <c r="D122" s="38">
        <f t="shared" ref="D122:E122" si="68">IF(D120&gt;D121,0,(D121-D120)*-1)</f>
        <v>0</v>
      </c>
      <c r="E122" s="38">
        <f t="shared" si="68"/>
        <v>0</v>
      </c>
      <c r="F122" s="38">
        <f>IF(F120&gt;F121,0,(F121-F120)*-1)</f>
        <v>0</v>
      </c>
      <c r="G122" s="38">
        <f t="shared" ref="G122:N122" si="69">IF(G120&gt;G121,0,(G121-G120)*-1)</f>
        <v>0</v>
      </c>
      <c r="H122" s="38">
        <f>IF(H120&gt;H121,0,(H121-H120)*-1)</f>
        <v>0</v>
      </c>
      <c r="I122" s="38">
        <f t="shared" si="69"/>
        <v>0</v>
      </c>
      <c r="J122" s="38">
        <f t="shared" si="69"/>
        <v>0</v>
      </c>
      <c r="K122" s="38">
        <f t="shared" si="69"/>
        <v>0</v>
      </c>
      <c r="L122" s="38">
        <f t="shared" si="69"/>
        <v>0</v>
      </c>
      <c r="M122" s="38">
        <f t="shared" si="69"/>
        <v>0</v>
      </c>
      <c r="N122" s="38">
        <f t="shared" si="69"/>
        <v>0</v>
      </c>
      <c r="O122" s="38">
        <f>IF(O120&gt;O121,0,(O121-O120)*-1)</f>
        <v>0</v>
      </c>
      <c r="P122" s="38">
        <f>IF(P120&gt;P121,0,(P121-P120)*-1)</f>
        <v>0</v>
      </c>
      <c r="Q122" s="38">
        <f>IF(Q120&gt;Q121,0,(Q121-Q120)*-1)</f>
        <v>0</v>
      </c>
      <c r="R122" s="39">
        <f>IF(R120&gt;R121,0,(R121-R120)*-1)</f>
        <v>0</v>
      </c>
      <c r="S122" s="105"/>
      <c r="T122" s="100" t="str">
        <f>'50% Exceedance Baseline'!T122</f>
        <v>Deficit between target flows and flow gage data plus total adjusted inputs</v>
      </c>
    </row>
    <row r="123" spans="2:22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115"/>
    </row>
    <row r="124" spans="2:22" x14ac:dyDescent="0.25">
      <c r="B124" s="86" t="s">
        <v>18</v>
      </c>
      <c r="C124" s="99">
        <f>'50% Exceedance Baseline'!C124</f>
        <v>30</v>
      </c>
      <c r="D124" s="99">
        <f>'50% Exceedance Baseline'!D124</f>
        <v>30</v>
      </c>
      <c r="E124" s="99">
        <f>'50% Exceedance Baseline'!E124</f>
        <v>30</v>
      </c>
      <c r="F124" s="99">
        <f>'50% Exceedance Baseline'!F124</f>
        <v>30</v>
      </c>
      <c r="G124" s="99">
        <f>'50% Exceedance Baseline'!G124</f>
        <v>30</v>
      </c>
      <c r="H124" s="99">
        <f>'50% Exceedance Baseline'!H124</f>
        <v>30</v>
      </c>
      <c r="I124" s="99">
        <f>'50% Exceedance Baseline'!I124</f>
        <v>18</v>
      </c>
      <c r="J124" s="99">
        <f>'50% Exceedance Baseline'!J124</f>
        <v>22</v>
      </c>
      <c r="K124" s="99">
        <f>'50% Exceedance Baseline'!K124</f>
        <v>22</v>
      </c>
      <c r="L124" s="99">
        <f>'50% Exceedance Baseline'!L124</f>
        <v>22</v>
      </c>
      <c r="M124" s="99">
        <f>'50% Exceedance Baseline'!M124</f>
        <v>25</v>
      </c>
      <c r="N124" s="99">
        <f>'50% Exceedance Baseline'!N124</f>
        <v>25</v>
      </c>
      <c r="O124" s="99">
        <f>'50% Exceedance Baseline'!O124</f>
        <v>0</v>
      </c>
      <c r="P124" s="99">
        <f>'50% Exceedance Baseline'!P124</f>
        <v>0</v>
      </c>
      <c r="Q124" s="99">
        <f>'50% Exceedance Baseline'!Q124</f>
        <v>30</v>
      </c>
      <c r="R124" s="99">
        <f>'50% Exceedance Baseline'!R124</f>
        <v>30</v>
      </c>
      <c r="S124" s="116"/>
    </row>
    <row r="125" spans="2:22" x14ac:dyDescent="0.25">
      <c r="B125" s="86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117"/>
    </row>
    <row r="126" spans="2:22" ht="15.75" thickBot="1" x14ac:dyDescent="0.3">
      <c r="B126" s="65" t="s">
        <v>66</v>
      </c>
      <c r="C126" s="140">
        <f>IF(C127&gt;0,2,0)</f>
        <v>0</v>
      </c>
      <c r="D126" s="140">
        <f t="shared" ref="D126:R126" si="70">IF(D127&gt;0,2,0)</f>
        <v>0</v>
      </c>
      <c r="E126" s="140">
        <f t="shared" si="70"/>
        <v>0</v>
      </c>
      <c r="F126" s="140">
        <f t="shared" si="70"/>
        <v>2</v>
      </c>
      <c r="G126" s="140">
        <f t="shared" si="70"/>
        <v>2</v>
      </c>
      <c r="H126" s="140">
        <f t="shared" si="70"/>
        <v>2</v>
      </c>
      <c r="I126" s="140">
        <f t="shared" si="70"/>
        <v>2</v>
      </c>
      <c r="J126" s="140">
        <f t="shared" si="70"/>
        <v>2</v>
      </c>
      <c r="K126" s="140">
        <f t="shared" si="70"/>
        <v>2</v>
      </c>
      <c r="L126" s="140">
        <f t="shared" si="70"/>
        <v>2</v>
      </c>
      <c r="M126" s="140">
        <f t="shared" si="70"/>
        <v>2</v>
      </c>
      <c r="N126" s="140">
        <f t="shared" si="70"/>
        <v>2</v>
      </c>
      <c r="O126" s="140">
        <f t="shared" si="70"/>
        <v>0</v>
      </c>
      <c r="P126" s="140">
        <f t="shared" si="70"/>
        <v>0</v>
      </c>
      <c r="Q126" s="140">
        <f t="shared" si="70"/>
        <v>2</v>
      </c>
      <c r="R126" s="140">
        <f t="shared" si="70"/>
        <v>0</v>
      </c>
      <c r="S126" s="27"/>
      <c r="T126" s="101" t="s">
        <v>118</v>
      </c>
      <c r="U126" s="139">
        <f>SUM(C126:R126)*15*1.9835</f>
        <v>595.05000000000007</v>
      </c>
      <c r="V126" s="11" t="s">
        <v>124</v>
      </c>
    </row>
    <row r="127" spans="2:22" ht="15.75" thickBot="1" x14ac:dyDescent="0.3">
      <c r="B127" s="72" t="s">
        <v>109</v>
      </c>
      <c r="C127" s="46">
        <v>0</v>
      </c>
      <c r="D127" s="46">
        <v>0</v>
      </c>
      <c r="E127" s="46">
        <v>0</v>
      </c>
      <c r="F127" s="46">
        <v>30</v>
      </c>
      <c r="G127" s="46">
        <v>30</v>
      </c>
      <c r="H127" s="46">
        <v>30</v>
      </c>
      <c r="I127" s="46">
        <v>4</v>
      </c>
      <c r="J127" s="46">
        <v>6</v>
      </c>
      <c r="K127" s="46">
        <v>22</v>
      </c>
      <c r="L127" s="46">
        <v>22</v>
      </c>
      <c r="M127" s="46">
        <v>3</v>
      </c>
      <c r="N127" s="46">
        <v>1</v>
      </c>
      <c r="O127" s="46">
        <v>0</v>
      </c>
      <c r="P127" s="46">
        <v>0</v>
      </c>
      <c r="Q127" s="46">
        <v>1</v>
      </c>
      <c r="R127" s="46">
        <v>0</v>
      </c>
      <c r="S127" s="105"/>
      <c r="T127" s="100" t="str">
        <f>'50% Exceedance Baseline'!T127</f>
        <v>Flow input between Mgt. Pt. 5 and Mgt. Pt. 6</v>
      </c>
    </row>
    <row r="128" spans="2:22" x14ac:dyDescent="0.25">
      <c r="B128" s="79" t="s">
        <v>7</v>
      </c>
      <c r="C128" s="16">
        <f>IF(C142&gt;C141,((C142-C141)*-1),((C141-C142)))</f>
        <v>158.56458739999999</v>
      </c>
      <c r="D128" s="16">
        <f t="shared" ref="D128:E128" si="71">IF(D142&gt;D141,((D142-D141)*-1),((D141-D142)))</f>
        <v>38.865621000000004</v>
      </c>
      <c r="E128" s="16">
        <f t="shared" si="71"/>
        <v>11.087229799999989</v>
      </c>
      <c r="F128" s="16">
        <f>IF(F142&gt;F141,((F142-F141)*-1),((F141-F142)))</f>
        <v>0.90599504907999062</v>
      </c>
      <c r="G128" s="16">
        <f>IF(G142&gt;G141,((G142-G141)*-1),((G141-G142)))</f>
        <v>-1.8415767709600175</v>
      </c>
      <c r="H128" s="16">
        <f t="shared" ref="H128:R128" si="72">IF(H142&gt;H141,((H142-H141)*-1),((H141-H142)))</f>
        <v>0.44384414179997123</v>
      </c>
      <c r="I128" s="16">
        <f t="shared" si="72"/>
        <v>0.18523936047104428</v>
      </c>
      <c r="J128" s="16">
        <f t="shared" si="72"/>
        <v>0.7988124191968069</v>
      </c>
      <c r="K128" s="16">
        <f t="shared" si="72"/>
        <v>3.0819741649856098</v>
      </c>
      <c r="L128" s="16">
        <f t="shared" si="72"/>
        <v>3.3633977655322553</v>
      </c>
      <c r="M128" s="16">
        <f t="shared" si="72"/>
        <v>1.1129534524570488</v>
      </c>
      <c r="N128" s="16">
        <f t="shared" si="72"/>
        <v>7.1582491001180415E-2</v>
      </c>
      <c r="O128" s="16">
        <f t="shared" si="72"/>
        <v>0.32602865504999556</v>
      </c>
      <c r="P128" s="16">
        <f t="shared" si="72"/>
        <v>1.040864236852002</v>
      </c>
      <c r="Q128" s="16">
        <f t="shared" si="72"/>
        <v>0.5299980852345243</v>
      </c>
      <c r="R128" s="14">
        <f t="shared" si="72"/>
        <v>19.643966277929792</v>
      </c>
      <c r="S128" s="18"/>
      <c r="T128" s="100" t="str">
        <f>'50% Exceedance Baseline'!T128</f>
        <v>Flow target surplus or deficit after input</v>
      </c>
    </row>
    <row r="129" spans="2:21" ht="15.75" thickBot="1" x14ac:dyDescent="0.3">
      <c r="B129" s="135" t="s">
        <v>115</v>
      </c>
      <c r="C129" s="136">
        <f t="shared" ref="C129:R129" si="73">C127*15*1.9835</f>
        <v>0</v>
      </c>
      <c r="D129" s="136">
        <f t="shared" si="73"/>
        <v>0</v>
      </c>
      <c r="E129" s="136">
        <f t="shared" si="73"/>
        <v>0</v>
      </c>
      <c r="F129" s="136">
        <f t="shared" si="73"/>
        <v>892.57500000000005</v>
      </c>
      <c r="G129" s="136">
        <f>G127*15*1.9835</f>
        <v>892.57500000000005</v>
      </c>
      <c r="H129" s="136">
        <f t="shared" si="73"/>
        <v>892.57500000000005</v>
      </c>
      <c r="I129" s="136">
        <f>I127*15*1.9835</f>
        <v>119.01</v>
      </c>
      <c r="J129" s="136">
        <f t="shared" si="73"/>
        <v>178.51500000000001</v>
      </c>
      <c r="K129" s="136">
        <f t="shared" si="73"/>
        <v>654.55500000000006</v>
      </c>
      <c r="L129" s="136">
        <f t="shared" si="73"/>
        <v>654.55500000000006</v>
      </c>
      <c r="M129" s="136">
        <f t="shared" si="73"/>
        <v>89.257500000000007</v>
      </c>
      <c r="N129" s="136">
        <f t="shared" si="73"/>
        <v>29.752500000000001</v>
      </c>
      <c r="O129" s="136">
        <f t="shared" si="73"/>
        <v>0</v>
      </c>
      <c r="P129" s="136">
        <f t="shared" si="73"/>
        <v>0</v>
      </c>
      <c r="Q129" s="136">
        <f t="shared" si="73"/>
        <v>29.752500000000001</v>
      </c>
      <c r="R129" s="137">
        <f t="shared" si="73"/>
        <v>0</v>
      </c>
      <c r="S129" s="136"/>
      <c r="T129" s="101" t="s">
        <v>118</v>
      </c>
      <c r="U129" s="139">
        <f>SUM(C129:R129)</f>
        <v>4433.1224999999995</v>
      </c>
    </row>
    <row r="130" spans="2:21" ht="15.75" thickBot="1" x14ac:dyDescent="0.3">
      <c r="B130" s="73" t="s">
        <v>6</v>
      </c>
      <c r="C130" s="46">
        <v>0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121">
        <v>0</v>
      </c>
      <c r="R130" s="46">
        <v>0</v>
      </c>
      <c r="S130" s="105"/>
      <c r="T130" s="100" t="str">
        <f>'50% Exceedance Baseline'!T130</f>
        <v>Flow input between Mgt. Pt. 5 and Mgt. Pt. 6</v>
      </c>
    </row>
    <row r="131" spans="2:21" x14ac:dyDescent="0.25">
      <c r="B131" s="79" t="s">
        <v>7</v>
      </c>
      <c r="C131" s="16">
        <f>IF(C142&gt;C141,((C142-C141)*-1),((C141-C142)))</f>
        <v>158.56458739999999</v>
      </c>
      <c r="D131" s="16">
        <f t="shared" ref="D131:R131" si="74">IF(D142&gt;D141,((D142-D141)*-1),((D141-D142)))</f>
        <v>38.865621000000004</v>
      </c>
      <c r="E131" s="16">
        <f t="shared" si="74"/>
        <v>11.087229799999989</v>
      </c>
      <c r="F131" s="16">
        <f t="shared" si="74"/>
        <v>0.90599504907999062</v>
      </c>
      <c r="G131" s="16">
        <f t="shared" si="74"/>
        <v>-1.8415767709600175</v>
      </c>
      <c r="H131" s="16">
        <f t="shared" si="74"/>
        <v>0.44384414179997123</v>
      </c>
      <c r="I131" s="16">
        <f t="shared" si="74"/>
        <v>0.18523936047104428</v>
      </c>
      <c r="J131" s="16">
        <f t="shared" si="74"/>
        <v>0.7988124191968069</v>
      </c>
      <c r="K131" s="16">
        <f t="shared" si="74"/>
        <v>3.0819741649856098</v>
      </c>
      <c r="L131" s="16">
        <f t="shared" si="74"/>
        <v>3.3633977655322553</v>
      </c>
      <c r="M131" s="16">
        <f t="shared" si="74"/>
        <v>1.1129534524570488</v>
      </c>
      <c r="N131" s="16">
        <f t="shared" si="74"/>
        <v>7.1582491001180415E-2</v>
      </c>
      <c r="O131" s="16">
        <f t="shared" si="74"/>
        <v>0.32602865504999556</v>
      </c>
      <c r="P131" s="16">
        <f t="shared" si="74"/>
        <v>1.040864236852002</v>
      </c>
      <c r="Q131" s="16">
        <f t="shared" si="74"/>
        <v>0.5299980852345243</v>
      </c>
      <c r="R131" s="14">
        <f t="shared" si="74"/>
        <v>19.643966277929792</v>
      </c>
      <c r="S131" s="18"/>
      <c r="T131" s="100" t="str">
        <f>'50% Exceedance Baseline'!T131</f>
        <v>Flow target surplus or deficit after input</v>
      </c>
    </row>
    <row r="132" spans="2:21" s="4" customFormat="1" ht="15.75" thickBot="1" x14ac:dyDescent="0.3">
      <c r="B132" s="80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7"/>
      <c r="S132" s="18"/>
      <c r="T132" s="100"/>
      <c r="U132" s="119"/>
    </row>
    <row r="133" spans="2:21" ht="15.75" thickBot="1" x14ac:dyDescent="0.3">
      <c r="B133" s="73" t="s">
        <v>60</v>
      </c>
      <c r="C133" s="46">
        <v>0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121">
        <v>0</v>
      </c>
      <c r="R133" s="46">
        <v>0</v>
      </c>
      <c r="S133" s="105"/>
      <c r="T133" s="100" t="str">
        <f>'50% Exceedance Baseline'!T133</f>
        <v>Flow input between Mgt. Pt. 5 and Mgt. Pt. 6</v>
      </c>
    </row>
    <row r="134" spans="2:21" x14ac:dyDescent="0.25">
      <c r="B134" s="79" t="s">
        <v>7</v>
      </c>
      <c r="C134" s="16">
        <f>IF(C142&gt;C141,((C142-C141)*-1),((C141-C142)))</f>
        <v>158.56458739999999</v>
      </c>
      <c r="D134" s="16">
        <f t="shared" ref="D134:R134" si="75">IF(D142&gt;D141,((D142-D141)*-1),((D141-D142)))</f>
        <v>38.865621000000004</v>
      </c>
      <c r="E134" s="16">
        <f>IF(E142&gt;E141,((E142-E141)*-1),((E141-E142)))</f>
        <v>11.087229799999989</v>
      </c>
      <c r="F134" s="16">
        <f t="shared" si="75"/>
        <v>0.90599504907999062</v>
      </c>
      <c r="G134" s="16">
        <f t="shared" si="75"/>
        <v>-1.8415767709600175</v>
      </c>
      <c r="H134" s="16">
        <f t="shared" si="75"/>
        <v>0.44384414179997123</v>
      </c>
      <c r="I134" s="16">
        <f t="shared" si="75"/>
        <v>0.18523936047104428</v>
      </c>
      <c r="J134" s="16">
        <f t="shared" si="75"/>
        <v>0.7988124191968069</v>
      </c>
      <c r="K134" s="16">
        <f t="shared" si="75"/>
        <v>3.0819741649856098</v>
      </c>
      <c r="L134" s="16">
        <f t="shared" si="75"/>
        <v>3.3633977655322553</v>
      </c>
      <c r="M134" s="16">
        <f t="shared" si="75"/>
        <v>1.1129534524570488</v>
      </c>
      <c r="N134" s="16">
        <f t="shared" si="75"/>
        <v>7.1582491001180415E-2</v>
      </c>
      <c r="O134" s="16">
        <f t="shared" si="75"/>
        <v>0.32602865504999556</v>
      </c>
      <c r="P134" s="16">
        <f t="shared" si="75"/>
        <v>1.040864236852002</v>
      </c>
      <c r="Q134" s="16">
        <f t="shared" si="75"/>
        <v>0.5299980852345243</v>
      </c>
      <c r="R134" s="14">
        <f t="shared" si="75"/>
        <v>19.643966277929792</v>
      </c>
      <c r="S134" s="18"/>
      <c r="T134" s="100" t="str">
        <f>'50% Exceedance Baseline'!T134</f>
        <v>Flow target surplus or deficit after input</v>
      </c>
    </row>
    <row r="135" spans="2:21" s="32" customFormat="1" x14ac:dyDescent="0.25">
      <c r="B135" s="81" t="s">
        <v>25</v>
      </c>
      <c r="C135" s="18">
        <f t="shared" ref="C135:F135" si="76">SUM(C127+C130+C133)</f>
        <v>0</v>
      </c>
      <c r="D135" s="18">
        <f t="shared" si="76"/>
        <v>0</v>
      </c>
      <c r="E135" s="18">
        <f t="shared" si="76"/>
        <v>0</v>
      </c>
      <c r="F135" s="18">
        <f t="shared" si="76"/>
        <v>30</v>
      </c>
      <c r="G135" s="18">
        <f>SUM(G127+G130+G133)</f>
        <v>30</v>
      </c>
      <c r="H135" s="18">
        <f t="shared" ref="H135:N135" si="77">SUM(H127+H130+H133)</f>
        <v>30</v>
      </c>
      <c r="I135" s="18">
        <f t="shared" si="77"/>
        <v>4</v>
      </c>
      <c r="J135" s="18">
        <f t="shared" si="77"/>
        <v>6</v>
      </c>
      <c r="K135" s="18">
        <f t="shared" si="77"/>
        <v>22</v>
      </c>
      <c r="L135" s="18">
        <f t="shared" si="77"/>
        <v>22</v>
      </c>
      <c r="M135" s="18">
        <f t="shared" si="77"/>
        <v>3</v>
      </c>
      <c r="N135" s="18">
        <f t="shared" si="77"/>
        <v>1</v>
      </c>
      <c r="O135" s="18">
        <f>SUM(O127+O130+O133)</f>
        <v>0</v>
      </c>
      <c r="P135" s="18">
        <f>SUM(P127+P130+P133)</f>
        <v>0</v>
      </c>
      <c r="Q135" s="18">
        <f>SUM(Q127+Q130+Q133)</f>
        <v>1</v>
      </c>
      <c r="R135" s="17">
        <f>SUM(R127+R130+R133)</f>
        <v>0</v>
      </c>
      <c r="S135" s="18"/>
      <c r="T135" s="100" t="str">
        <f>'50% Exceedance Baseline'!T135</f>
        <v>Subtotal of all inputs in Detour Road to McDonald Road reach</v>
      </c>
      <c r="U135" s="31"/>
    </row>
    <row r="136" spans="2:21" s="26" customFormat="1" ht="15.75" thickBot="1" x14ac:dyDescent="0.3">
      <c r="B136" s="80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7"/>
      <c r="S136" s="18"/>
      <c r="T136" s="100"/>
      <c r="U136" s="25"/>
    </row>
    <row r="137" spans="2:21" s="64" customFormat="1" ht="15.75" thickBot="1" x14ac:dyDescent="0.3">
      <c r="B137" s="70" t="s">
        <v>69</v>
      </c>
      <c r="C137" s="69">
        <f>'50% Exceedance Baseline'!C137</f>
        <v>-2.5999999999999999E-2</v>
      </c>
      <c r="D137" s="69">
        <f>'50% Exceedance Baseline'!D137</f>
        <v>-2.5999999999999999E-2</v>
      </c>
      <c r="E137" s="69">
        <f>'50% Exceedance Baseline'!E137</f>
        <v>-2.5999999999999999E-2</v>
      </c>
      <c r="F137" s="69">
        <f>'50% Exceedance Baseline'!F137</f>
        <v>-2.5999999999999999E-2</v>
      </c>
      <c r="G137" s="69">
        <f>'50% Exceedance Baseline'!G137</f>
        <v>-2.5999999999999999E-2</v>
      </c>
      <c r="H137" s="69">
        <f>'50% Exceedance Baseline'!H137</f>
        <v>-2.5999999999999999E-2</v>
      </c>
      <c r="I137" s="69">
        <f>'50% Exceedance Baseline'!I137</f>
        <v>-2.5999999999999999E-2</v>
      </c>
      <c r="J137" s="69">
        <f>'50% Exceedance Baseline'!J137</f>
        <v>-2.5999999999999999E-2</v>
      </c>
      <c r="K137" s="82">
        <f>'50% Exceedance Baseline'!K137</f>
        <v>-6.9000000000000006E-2</v>
      </c>
      <c r="L137" s="82">
        <f>'50% Exceedance Baseline'!L137</f>
        <v>-6.9000000000000006E-2</v>
      </c>
      <c r="M137" s="69">
        <f>'50% Exceedance Baseline'!M137</f>
        <v>-6.9000000000000006E-2</v>
      </c>
      <c r="N137" s="69">
        <f>'50% Exceedance Baseline'!N137</f>
        <v>-6.9000000000000006E-2</v>
      </c>
      <c r="O137" s="69">
        <f>'50% Exceedance Baseline'!O137</f>
        <v>-6.9000000000000006E-2</v>
      </c>
      <c r="P137" s="69">
        <f>'50% Exceedance Baseline'!P137</f>
        <v>-6.9000000000000006E-2</v>
      </c>
      <c r="Q137" s="69">
        <f>'50% Exceedance Baseline'!Q137</f>
        <v>-6.9000000000000006E-2</v>
      </c>
      <c r="R137" s="69">
        <f>'50% Exceedance Baseline'!R137</f>
        <v>-6.9000000000000006E-2</v>
      </c>
      <c r="S137" s="107"/>
      <c r="T137" s="100" t="str">
        <f>'50% Exceedance Baseline'!T137</f>
        <v>Percentage total inputs lost or gained due to streambed hydrology (2002-2015 WWBWC seepage data); estimated current rates reduced by 10% to reflect assumed seepage reductions from future projects</v>
      </c>
      <c r="U137" s="83"/>
    </row>
    <row r="138" spans="2:21" s="26" customFormat="1" x14ac:dyDescent="0.25">
      <c r="B138" s="84" t="s">
        <v>20</v>
      </c>
      <c r="C138" s="57">
        <f>SUM(C135+C117)*(1+C137)</f>
        <v>0</v>
      </c>
      <c r="D138" s="57">
        <f t="shared" ref="D138:N138" si="78">SUM(D135+D117)*(1+D137)</f>
        <v>0</v>
      </c>
      <c r="E138" s="57">
        <f t="shared" si="78"/>
        <v>0</v>
      </c>
      <c r="F138" s="57">
        <f t="shared" si="78"/>
        <v>91.027473919079981</v>
      </c>
      <c r="G138" s="57">
        <f t="shared" si="78"/>
        <v>140.18878129903999</v>
      </c>
      <c r="H138" s="57">
        <f t="shared" si="78"/>
        <v>93.049095929799975</v>
      </c>
      <c r="I138" s="57">
        <f t="shared" si="78"/>
        <v>53.739571320471043</v>
      </c>
      <c r="J138" s="57">
        <f t="shared" si="78"/>
        <v>54.985549189196803</v>
      </c>
      <c r="K138" s="57">
        <f t="shared" si="78"/>
        <v>57.192727074985605</v>
      </c>
      <c r="L138" s="57">
        <f t="shared" si="78"/>
        <v>57.766332185532249</v>
      </c>
      <c r="M138" s="57">
        <f t="shared" si="78"/>
        <v>42.869568482457048</v>
      </c>
      <c r="N138" s="57">
        <f t="shared" si="78"/>
        <v>41.605726221001177</v>
      </c>
      <c r="O138" s="57">
        <f>SUM(O135+O117)*(1+O137)</f>
        <v>46.703655545049997</v>
      </c>
      <c r="P138" s="122">
        <f>SUM(P135+P117)*(1+P137)</f>
        <v>48.443323766851996</v>
      </c>
      <c r="Q138" s="57">
        <f>SUM(Q135+Q117)*(1+Q137)</f>
        <v>35.258664825234519</v>
      </c>
      <c r="R138" s="68">
        <f>SUM(R135+R117)*(1+R137)</f>
        <v>24.390709217929786</v>
      </c>
      <c r="S138" s="110"/>
      <c r="T138" s="100" t="str">
        <f>'50% Exceedance Baseline'!T138</f>
        <v>Total of all upstream input flow adjusted for streambed loss or gain</v>
      </c>
      <c r="U138" s="25"/>
    </row>
    <row r="139" spans="2:21" ht="15.75" thickBot="1" x14ac:dyDescent="0.3">
      <c r="B139" s="71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3"/>
      <c r="S139" s="110"/>
    </row>
    <row r="140" spans="2:21" ht="15.75" thickBot="1" x14ac:dyDescent="0.3">
      <c r="B140" s="42" t="s">
        <v>57</v>
      </c>
      <c r="C140" s="123">
        <f>'50% Exceedance Baseline'!C140</f>
        <v>308.56458739999999</v>
      </c>
      <c r="D140" s="123">
        <f>'50% Exceedance Baseline'!D140</f>
        <v>188.865621</v>
      </c>
      <c r="E140" s="123">
        <f>'50% Exceedance Baseline'!E140</f>
        <v>161.08722979999999</v>
      </c>
      <c r="F140" s="123">
        <f>'50% Exceedance Baseline'!F140</f>
        <v>59.878521130000003</v>
      </c>
      <c r="G140" s="123">
        <f>'50% Exceedance Baseline'!G140</f>
        <v>7.9696419299999999</v>
      </c>
      <c r="H140" s="123">
        <f>'50% Exceedance Baseline'!H140</f>
        <v>7.3947482119999997</v>
      </c>
      <c r="I140" s="123">
        <f>'50% Exceedance Baseline'!I140</f>
        <v>11.445668039999999</v>
      </c>
      <c r="J140" s="123">
        <f>'50% Exceedance Baseline'!J140</f>
        <v>10.81326323</v>
      </c>
      <c r="K140" s="123">
        <f>'50% Exceedance Baseline'!K140</f>
        <v>10.88924709</v>
      </c>
      <c r="L140" s="123">
        <f>'50% Exceedance Baseline'!L140</f>
        <v>10.597065580000001</v>
      </c>
      <c r="M140" s="123">
        <f>'50% Exceedance Baseline'!M140</f>
        <v>23.243384970000001</v>
      </c>
      <c r="N140" s="123">
        <f>'50% Exceedance Baseline'!N140</f>
        <v>23.46585627</v>
      </c>
      <c r="O140" s="123">
        <f>'50% Exceedance Baseline'!O140</f>
        <v>18.622373110000002</v>
      </c>
      <c r="P140" s="123">
        <f>'50% Exceedance Baseline'!P140</f>
        <v>17.597540469999998</v>
      </c>
      <c r="Q140" s="123">
        <f>'50% Exceedance Baseline'!Q140</f>
        <v>30.271333259999999</v>
      </c>
      <c r="R140" s="123">
        <f>'50% Exceedance Baseline'!R140</f>
        <v>60.253257060000003</v>
      </c>
      <c r="S140" s="19"/>
      <c r="T140" s="100" t="str">
        <f>'50% Exceedance Baseline'!T140</f>
        <v>Median flow data at S-119 gage (2013-2016)</v>
      </c>
    </row>
    <row r="141" spans="2:21" x14ac:dyDescent="0.25">
      <c r="B141" s="47" t="s">
        <v>41</v>
      </c>
      <c r="C141" s="48">
        <f>C140+C138</f>
        <v>308.56458739999999</v>
      </c>
      <c r="D141" s="48">
        <f t="shared" ref="D141:E141" si="79">D140+D138</f>
        <v>188.865621</v>
      </c>
      <c r="E141" s="48">
        <f t="shared" si="79"/>
        <v>161.08722979999999</v>
      </c>
      <c r="F141" s="48">
        <f>F140+F138</f>
        <v>150.90599504907999</v>
      </c>
      <c r="G141" s="48">
        <f t="shared" ref="G141:H141" si="80">G140+G138</f>
        <v>148.15842322903998</v>
      </c>
      <c r="H141" s="48">
        <f t="shared" si="80"/>
        <v>100.44384414179997</v>
      </c>
      <c r="I141" s="48">
        <f>I140+I138</f>
        <v>65.185239360471044</v>
      </c>
      <c r="J141" s="48">
        <f t="shared" ref="J141:N141" si="81">J140+J138</f>
        <v>65.798812419196807</v>
      </c>
      <c r="K141" s="48">
        <f t="shared" si="81"/>
        <v>68.08197416498561</v>
      </c>
      <c r="L141" s="48">
        <f t="shared" si="81"/>
        <v>68.363397765532255</v>
      </c>
      <c r="M141" s="48">
        <f t="shared" si="81"/>
        <v>66.112953452457049</v>
      </c>
      <c r="N141" s="48">
        <f t="shared" si="81"/>
        <v>65.07158249100118</v>
      </c>
      <c r="O141" s="48">
        <f>O140+O138</f>
        <v>65.326028655049996</v>
      </c>
      <c r="P141" s="48">
        <f>P140+P138</f>
        <v>66.040864236852002</v>
      </c>
      <c r="Q141" s="48">
        <f>Q140+Q138</f>
        <v>65.529998085234524</v>
      </c>
      <c r="R141" s="49">
        <f>R140+R138</f>
        <v>84.643966277929792</v>
      </c>
      <c r="S141" s="111"/>
      <c r="T141" s="100" t="str">
        <f>'50% Exceedance Baseline'!T141</f>
        <v>Flow gage data plus cumulative inputs adjusted for streambed loss or gain</v>
      </c>
    </row>
    <row r="142" spans="2:21" x14ac:dyDescent="0.25">
      <c r="B142" s="10" t="s">
        <v>8</v>
      </c>
      <c r="C142" s="8">
        <f>$C$16</f>
        <v>150</v>
      </c>
      <c r="D142" s="8">
        <f>$D$16</f>
        <v>150</v>
      </c>
      <c r="E142" s="8">
        <f>$E$16</f>
        <v>150</v>
      </c>
      <c r="F142" s="8">
        <f>$F$16</f>
        <v>150</v>
      </c>
      <c r="G142" s="8">
        <f>$G$16</f>
        <v>150</v>
      </c>
      <c r="H142" s="8">
        <f>$H$16</f>
        <v>100</v>
      </c>
      <c r="I142" s="8">
        <f>$I$16</f>
        <v>65</v>
      </c>
      <c r="J142" s="8">
        <f>$J$16</f>
        <v>65</v>
      </c>
      <c r="K142" s="8">
        <f>$K$16</f>
        <v>65</v>
      </c>
      <c r="L142" s="8">
        <f>$L$16</f>
        <v>65</v>
      </c>
      <c r="M142" s="8">
        <f>$M$16</f>
        <v>65</v>
      </c>
      <c r="N142" s="8">
        <f>$N$16</f>
        <v>65</v>
      </c>
      <c r="O142" s="8">
        <f>$O$16</f>
        <v>65</v>
      </c>
      <c r="P142" s="8">
        <f>$P$16</f>
        <v>65</v>
      </c>
      <c r="Q142" s="8">
        <f>$Q$16</f>
        <v>65</v>
      </c>
      <c r="R142" s="9">
        <f>$R$16</f>
        <v>65</v>
      </c>
      <c r="S142" s="112"/>
      <c r="T142" s="100" t="str">
        <f>'50% Exceedance Baseline'!T142</f>
        <v>Target flows</v>
      </c>
    </row>
    <row r="143" spans="2:21" ht="15.75" thickBot="1" x14ac:dyDescent="0.3">
      <c r="B143" s="37" t="s">
        <v>15</v>
      </c>
      <c r="C143" s="38">
        <f>IF(C141&gt;C142,0,(C142-C141)*-1)</f>
        <v>0</v>
      </c>
      <c r="D143" s="38">
        <f t="shared" ref="D143:E143" si="82">IF(D141&gt;D142,0,(D142-D141)*-1)</f>
        <v>0</v>
      </c>
      <c r="E143" s="38">
        <f t="shared" si="82"/>
        <v>0</v>
      </c>
      <c r="F143" s="38">
        <f>IF(F141&gt;F142,0,(F142-F141)*-1)</f>
        <v>0</v>
      </c>
      <c r="G143" s="38">
        <f t="shared" ref="G143" si="83">IF(G141&gt;G142,0,(G142-G141)*-1)</f>
        <v>-1.8415767709600175</v>
      </c>
      <c r="H143" s="38">
        <f>IF(H141&gt;H142,0,(H142-H141)*-1)</f>
        <v>0</v>
      </c>
      <c r="I143" s="38">
        <f t="shared" ref="I143:N143" si="84">IF(I141&gt;I142,0,(I142-I141)*-1)</f>
        <v>0</v>
      </c>
      <c r="J143" s="38">
        <f t="shared" si="84"/>
        <v>0</v>
      </c>
      <c r="K143" s="38">
        <f t="shared" si="84"/>
        <v>0</v>
      </c>
      <c r="L143" s="38">
        <f t="shared" si="84"/>
        <v>0</v>
      </c>
      <c r="M143" s="38">
        <f t="shared" si="84"/>
        <v>0</v>
      </c>
      <c r="N143" s="38">
        <f t="shared" si="84"/>
        <v>0</v>
      </c>
      <c r="O143" s="38">
        <f>IF(O141&gt;O142,0,(O142-O141)*-1)</f>
        <v>0</v>
      </c>
      <c r="P143" s="38">
        <f>IF(P141&gt;P142,0,(P142-P141)*-1)</f>
        <v>0</v>
      </c>
      <c r="Q143" s="38">
        <f>IF(Q141&gt;Q142,0,(Q142-Q141)*-1)</f>
        <v>0</v>
      </c>
      <c r="R143" s="39">
        <f>IF(R141&gt;R142,0,(R142-R141)*-1)</f>
        <v>0</v>
      </c>
      <c r="S143" s="105"/>
      <c r="T143" s="100" t="str">
        <f>'50% Exceedance Baseline'!T143</f>
        <v>Deficit between target flows and flow gage data plus total adjusted inputs</v>
      </c>
    </row>
    <row r="144" spans="2:21" x14ac:dyDescent="0.25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18"/>
    </row>
    <row r="145" spans="2:21" x14ac:dyDescent="0.25">
      <c r="B145" s="35" t="s">
        <v>2</v>
      </c>
      <c r="C145" s="36">
        <f>'50% Exceedance Baseline'!C145</f>
        <v>30</v>
      </c>
      <c r="D145" s="36">
        <f>'50% Exceedance Baseline'!D145</f>
        <v>30</v>
      </c>
      <c r="E145" s="36">
        <f>'50% Exceedance Baseline'!E145</f>
        <v>20</v>
      </c>
      <c r="F145" s="36">
        <f>'50% Exceedance Baseline'!F145</f>
        <v>20</v>
      </c>
      <c r="G145" s="36">
        <f>'50% Exceedance Baseline'!G145</f>
        <v>1</v>
      </c>
      <c r="H145" s="36">
        <f>'50% Exceedance Baseline'!H145</f>
        <v>1</v>
      </c>
      <c r="I145" s="36">
        <f>'50% Exceedance Baseline'!I145</f>
        <v>1</v>
      </c>
      <c r="J145" s="36">
        <f>'50% Exceedance Baseline'!J145</f>
        <v>1</v>
      </c>
      <c r="K145" s="36">
        <f>'50% Exceedance Baseline'!K145</f>
        <v>1</v>
      </c>
      <c r="L145" s="36">
        <f>'50% Exceedance Baseline'!L145</f>
        <v>1</v>
      </c>
      <c r="M145" s="36">
        <f>'50% Exceedance Baseline'!M145</f>
        <v>1</v>
      </c>
      <c r="N145" s="36">
        <f>'50% Exceedance Baseline'!N145</f>
        <v>1</v>
      </c>
      <c r="O145" s="36">
        <f>'50% Exceedance Baseline'!O145</f>
        <v>1</v>
      </c>
      <c r="P145" s="36">
        <f>'50% Exceedance Baseline'!P145</f>
        <v>1</v>
      </c>
      <c r="Q145" s="36">
        <f>'50% Exceedance Baseline'!Q145</f>
        <v>3</v>
      </c>
      <c r="R145" s="36">
        <f>'50% Exceedance Baseline'!R145</f>
        <v>3</v>
      </c>
      <c r="S145" s="66"/>
      <c r="T145" s="100" t="str">
        <f>'50% Exceedance Baseline'!T145</f>
        <v>Estimate</v>
      </c>
    </row>
    <row r="146" spans="2:21" s="12" customFormat="1" x14ac:dyDescent="0.25">
      <c r="B146" s="62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100"/>
      <c r="U146" s="13"/>
    </row>
    <row r="147" spans="2:21" ht="15.75" thickBot="1" x14ac:dyDescent="0.3">
      <c r="B147" s="4" t="s">
        <v>67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18"/>
    </row>
    <row r="148" spans="2:21" ht="15.75" thickBot="1" x14ac:dyDescent="0.3">
      <c r="B148" s="72" t="s">
        <v>5</v>
      </c>
      <c r="C148" s="46">
        <v>0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121">
        <v>0</v>
      </c>
      <c r="R148" s="46">
        <v>0</v>
      </c>
      <c r="S148" s="105"/>
      <c r="T148" s="100" t="str">
        <f>'50% Exceedance Baseline'!T148</f>
        <v>Flow input between Mgt. Pt. 6 and Mgt. Pt. 7</v>
      </c>
    </row>
    <row r="149" spans="2:21" x14ac:dyDescent="0.25">
      <c r="B149" s="79" t="s">
        <v>7</v>
      </c>
      <c r="C149" s="16">
        <f>IF(C163&gt;C162,((C163-C162)*-1),((C162-C163)))</f>
        <v>880</v>
      </c>
      <c r="D149" s="16">
        <f t="shared" ref="D149:E149" si="85">IF(D163&gt;D162,((D163-D162)*-1),((D162-D163)))</f>
        <v>731.5</v>
      </c>
      <c r="E149" s="16">
        <f t="shared" si="85"/>
        <v>614</v>
      </c>
      <c r="F149" s="16">
        <f>IF(F163&gt;F162,((F163-F162)*-1),((F162-F163)))</f>
        <v>504.02747391907997</v>
      </c>
      <c r="G149" s="16">
        <f>IF(G163&gt;G162,((G163-G162)*-1),((G162-G163)))</f>
        <v>266.68878129903999</v>
      </c>
      <c r="H149" s="16">
        <f t="shared" ref="H149:R149" si="86">IF(H163&gt;H162,((H163-H162)*-1),((H162-H163)))</f>
        <v>100.04909592979999</v>
      </c>
      <c r="I149" s="16">
        <f t="shared" si="86"/>
        <v>37.739571320471043</v>
      </c>
      <c r="J149" s="16">
        <f t="shared" si="86"/>
        <v>11.985549189196803</v>
      </c>
      <c r="K149" s="16">
        <f t="shared" si="86"/>
        <v>7.192727074985612</v>
      </c>
      <c r="L149" s="16">
        <f t="shared" si="86"/>
        <v>6.7663321855322494</v>
      </c>
      <c r="M149" s="16">
        <f t="shared" si="86"/>
        <v>0.86956848245705487</v>
      </c>
      <c r="N149" s="16">
        <f t="shared" si="86"/>
        <v>16.605726221001177</v>
      </c>
      <c r="O149" s="16">
        <f t="shared" si="86"/>
        <v>29.703655545049997</v>
      </c>
      <c r="P149" s="16">
        <f t="shared" si="86"/>
        <v>44.443323766851989</v>
      </c>
      <c r="Q149" s="16">
        <f t="shared" si="86"/>
        <v>80.258664825234519</v>
      </c>
      <c r="R149" s="14">
        <f t="shared" si="86"/>
        <v>203.39070921792978</v>
      </c>
      <c r="S149" s="18"/>
      <c r="T149" s="100" t="str">
        <f>'50% Exceedance Baseline'!T149</f>
        <v>Flow target surplus or deficit after input</v>
      </c>
    </row>
    <row r="150" spans="2:21" ht="15.75" thickBot="1" x14ac:dyDescent="0.3">
      <c r="B150" s="80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7"/>
      <c r="S150" s="18"/>
    </row>
    <row r="151" spans="2:21" ht="15.75" thickBot="1" x14ac:dyDescent="0.3">
      <c r="B151" s="73" t="s">
        <v>6</v>
      </c>
      <c r="C151" s="46">
        <v>0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121">
        <v>0</v>
      </c>
      <c r="R151" s="46">
        <v>0</v>
      </c>
      <c r="S151" s="105"/>
      <c r="T151" s="100" t="str">
        <f>'50% Exceedance Baseline'!T151</f>
        <v>Flow input between Mgt. Pt. 6 and Mgt. Pt. 7</v>
      </c>
    </row>
    <row r="152" spans="2:21" x14ac:dyDescent="0.25">
      <c r="B152" s="79" t="s">
        <v>7</v>
      </c>
      <c r="C152" s="16">
        <f>IF(C163&gt;C162,((C163-C162)*-1),((C162-C163)))</f>
        <v>880</v>
      </c>
      <c r="D152" s="16">
        <f t="shared" ref="D152:R152" si="87">IF(D163&gt;D162,((D163-D162)*-1),((D162-D163)))</f>
        <v>731.5</v>
      </c>
      <c r="E152" s="16">
        <f t="shared" si="87"/>
        <v>614</v>
      </c>
      <c r="F152" s="16">
        <f t="shared" si="87"/>
        <v>504.02747391907997</v>
      </c>
      <c r="G152" s="16">
        <f t="shared" si="87"/>
        <v>266.68878129903999</v>
      </c>
      <c r="H152" s="16">
        <f t="shared" si="87"/>
        <v>100.04909592979999</v>
      </c>
      <c r="I152" s="16">
        <f t="shared" si="87"/>
        <v>37.739571320471043</v>
      </c>
      <c r="J152" s="16">
        <f t="shared" si="87"/>
        <v>11.985549189196803</v>
      </c>
      <c r="K152" s="16">
        <f t="shared" si="87"/>
        <v>7.192727074985612</v>
      </c>
      <c r="L152" s="16">
        <f t="shared" si="87"/>
        <v>6.7663321855322494</v>
      </c>
      <c r="M152" s="16">
        <f t="shared" si="87"/>
        <v>0.86956848245705487</v>
      </c>
      <c r="N152" s="16">
        <f t="shared" si="87"/>
        <v>16.605726221001177</v>
      </c>
      <c r="O152" s="16">
        <f t="shared" si="87"/>
        <v>29.703655545049997</v>
      </c>
      <c r="P152" s="16">
        <f t="shared" si="87"/>
        <v>44.443323766851989</v>
      </c>
      <c r="Q152" s="16">
        <f t="shared" si="87"/>
        <v>80.258664825234519</v>
      </c>
      <c r="R152" s="14">
        <f t="shared" si="87"/>
        <v>203.39070921792978</v>
      </c>
      <c r="S152" s="18"/>
      <c r="T152" s="100" t="str">
        <f>'50% Exceedance Baseline'!T152</f>
        <v>Flow target surplus or deficit after input</v>
      </c>
    </row>
    <row r="153" spans="2:21" s="4" customFormat="1" ht="15.75" thickBot="1" x14ac:dyDescent="0.3">
      <c r="B153" s="80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7"/>
      <c r="S153" s="18"/>
      <c r="T153" s="100"/>
      <c r="U153" s="119"/>
    </row>
    <row r="154" spans="2:21" ht="15.75" thickBot="1" x14ac:dyDescent="0.3">
      <c r="B154" s="73" t="s">
        <v>60</v>
      </c>
      <c r="C154" s="46">
        <v>0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121">
        <v>0</v>
      </c>
      <c r="R154" s="46">
        <v>0</v>
      </c>
      <c r="S154" s="105"/>
      <c r="T154" s="100" t="str">
        <f>'50% Exceedance Baseline'!T154</f>
        <v>Flow input between Mgt. Pt. 6 and Mgt. Pt. 7</v>
      </c>
    </row>
    <row r="155" spans="2:21" x14ac:dyDescent="0.25">
      <c r="B155" s="79" t="s">
        <v>7</v>
      </c>
      <c r="C155" s="16">
        <f>IF(C163&gt;C162,((C163-C162)*-1),((C162-C163)))</f>
        <v>880</v>
      </c>
      <c r="D155" s="16">
        <f t="shared" ref="D155" si="88">IF(D163&gt;D162,((D163-D162)*-1),((D162-D163)))</f>
        <v>731.5</v>
      </c>
      <c r="E155" s="16">
        <f>IF(E163&gt;E162,((E163-E162)*-1),((E162-E163)))</f>
        <v>614</v>
      </c>
      <c r="F155" s="16">
        <f t="shared" ref="F155:R155" si="89">IF(F163&gt;F162,((F163-F162)*-1),((F162-F163)))</f>
        <v>504.02747391907997</v>
      </c>
      <c r="G155" s="16">
        <f t="shared" si="89"/>
        <v>266.68878129903999</v>
      </c>
      <c r="H155" s="16">
        <f t="shared" si="89"/>
        <v>100.04909592979999</v>
      </c>
      <c r="I155" s="16">
        <f t="shared" si="89"/>
        <v>37.739571320471043</v>
      </c>
      <c r="J155" s="16">
        <f t="shared" si="89"/>
        <v>11.985549189196803</v>
      </c>
      <c r="K155" s="16">
        <f t="shared" si="89"/>
        <v>7.192727074985612</v>
      </c>
      <c r="L155" s="16">
        <f t="shared" si="89"/>
        <v>6.7663321855322494</v>
      </c>
      <c r="M155" s="16">
        <f t="shared" si="89"/>
        <v>0.86956848245705487</v>
      </c>
      <c r="N155" s="16">
        <f t="shared" si="89"/>
        <v>16.605726221001177</v>
      </c>
      <c r="O155" s="16">
        <f t="shared" si="89"/>
        <v>29.703655545049997</v>
      </c>
      <c r="P155" s="16">
        <f t="shared" si="89"/>
        <v>44.443323766851989</v>
      </c>
      <c r="Q155" s="16">
        <f t="shared" si="89"/>
        <v>80.258664825234519</v>
      </c>
      <c r="R155" s="14">
        <f t="shared" si="89"/>
        <v>203.39070921792978</v>
      </c>
      <c r="S155" s="18"/>
      <c r="T155" s="100" t="str">
        <f>'50% Exceedance Baseline'!T155</f>
        <v>Flow target surplus or deficit after input</v>
      </c>
    </row>
    <row r="156" spans="2:21" s="4" customFormat="1" x14ac:dyDescent="0.25">
      <c r="B156" s="81" t="s">
        <v>26</v>
      </c>
      <c r="C156" s="18">
        <f t="shared" ref="C156:F156" si="90">SUM(C148+C151+C154)</f>
        <v>0</v>
      </c>
      <c r="D156" s="18">
        <f t="shared" si="90"/>
        <v>0</v>
      </c>
      <c r="E156" s="18">
        <f t="shared" si="90"/>
        <v>0</v>
      </c>
      <c r="F156" s="18">
        <f t="shared" si="90"/>
        <v>0</v>
      </c>
      <c r="G156" s="18">
        <f>SUM(G148+G151+G154)</f>
        <v>0</v>
      </c>
      <c r="H156" s="18">
        <f t="shared" ref="H156:N156" si="91">SUM(H148+H151+H154)</f>
        <v>0</v>
      </c>
      <c r="I156" s="18">
        <f t="shared" si="91"/>
        <v>0</v>
      </c>
      <c r="J156" s="18">
        <f t="shared" si="91"/>
        <v>0</v>
      </c>
      <c r="K156" s="18">
        <f t="shared" si="91"/>
        <v>0</v>
      </c>
      <c r="L156" s="18">
        <f t="shared" si="91"/>
        <v>0</v>
      </c>
      <c r="M156" s="18">
        <f t="shared" si="91"/>
        <v>0</v>
      </c>
      <c r="N156" s="18">
        <f t="shared" si="91"/>
        <v>0</v>
      </c>
      <c r="O156" s="18">
        <f>SUM(O148+O151+O154)</f>
        <v>0</v>
      </c>
      <c r="P156" s="18">
        <f>SUM(P148+P151+P154)</f>
        <v>0</v>
      </c>
      <c r="Q156" s="18">
        <f>SUM(Q148+Q151+Q154)</f>
        <v>0</v>
      </c>
      <c r="R156" s="17">
        <f>SUM(R148+R151+R154)</f>
        <v>0</v>
      </c>
      <c r="S156" s="18"/>
      <c r="T156" s="100" t="str">
        <f>'50% Exceedance Baseline'!T156</f>
        <v>Subtotal of all inputs in McDonald Road to Touchet Confluence reach</v>
      </c>
      <c r="U156" s="119"/>
    </row>
    <row r="157" spans="2:21" s="26" customFormat="1" ht="15.75" thickBot="1" x14ac:dyDescent="0.3">
      <c r="B157" s="80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7"/>
      <c r="S157" s="18"/>
      <c r="T157" s="100"/>
      <c r="U157" s="25"/>
    </row>
    <row r="158" spans="2:21" s="64" customFormat="1" ht="15.75" thickBot="1" x14ac:dyDescent="0.3">
      <c r="B158" s="70" t="s">
        <v>69</v>
      </c>
      <c r="C158" s="82">
        <f>'50% Exceedance Baseline'!C158</f>
        <v>0</v>
      </c>
      <c r="D158" s="82">
        <f>'50% Exceedance Baseline'!D158</f>
        <v>0</v>
      </c>
      <c r="E158" s="82">
        <f>'50% Exceedance Baseline'!E158</f>
        <v>0</v>
      </c>
      <c r="F158" s="82">
        <f>'50% Exceedance Baseline'!F158</f>
        <v>0</v>
      </c>
      <c r="G158" s="82">
        <f>'50% Exceedance Baseline'!G158</f>
        <v>0</v>
      </c>
      <c r="H158" s="82">
        <f>'50% Exceedance Baseline'!H158</f>
        <v>0</v>
      </c>
      <c r="I158" s="82">
        <f>'50% Exceedance Baseline'!I158</f>
        <v>0</v>
      </c>
      <c r="J158" s="82">
        <f>'50% Exceedance Baseline'!J158</f>
        <v>0</v>
      </c>
      <c r="K158" s="82">
        <f>'50% Exceedance Baseline'!K158</f>
        <v>0</v>
      </c>
      <c r="L158" s="82">
        <f>'50% Exceedance Baseline'!L158</f>
        <v>0</v>
      </c>
      <c r="M158" s="82">
        <f>'50% Exceedance Baseline'!M158</f>
        <v>0</v>
      </c>
      <c r="N158" s="82">
        <f>'50% Exceedance Baseline'!N158</f>
        <v>0</v>
      </c>
      <c r="O158" s="82">
        <f>'50% Exceedance Baseline'!O158</f>
        <v>0</v>
      </c>
      <c r="P158" s="82">
        <f>'50% Exceedance Baseline'!P158</f>
        <v>0</v>
      </c>
      <c r="Q158" s="82">
        <f>'50% Exceedance Baseline'!Q158</f>
        <v>0</v>
      </c>
      <c r="R158" s="82">
        <f>'50% Exceedance Baseline'!R158</f>
        <v>0</v>
      </c>
      <c r="S158" s="106"/>
      <c r="T158" s="100" t="str">
        <f>'50% Exceedance Baseline'!T158</f>
        <v>Gaining reach, but limited data available; assumed 0% seepage as conservative estimate</v>
      </c>
      <c r="U158" s="83"/>
    </row>
    <row r="159" spans="2:21" x14ac:dyDescent="0.25">
      <c r="B159" s="84" t="s">
        <v>20</v>
      </c>
      <c r="C159" s="57">
        <f>SUM(C156+C138)*(1+C158)</f>
        <v>0</v>
      </c>
      <c r="D159" s="57">
        <f t="shared" ref="D159:N159" si="92">SUM(D156+D138)*(1+D158)</f>
        <v>0</v>
      </c>
      <c r="E159" s="57">
        <f t="shared" si="92"/>
        <v>0</v>
      </c>
      <c r="F159" s="57">
        <f t="shared" si="92"/>
        <v>91.027473919079981</v>
      </c>
      <c r="G159" s="57">
        <f t="shared" si="92"/>
        <v>140.18878129903999</v>
      </c>
      <c r="H159" s="57">
        <f t="shared" si="92"/>
        <v>93.049095929799975</v>
      </c>
      <c r="I159" s="57">
        <f t="shared" si="92"/>
        <v>53.739571320471043</v>
      </c>
      <c r="J159" s="57">
        <f t="shared" si="92"/>
        <v>54.985549189196803</v>
      </c>
      <c r="K159" s="57">
        <f t="shared" si="92"/>
        <v>57.192727074985605</v>
      </c>
      <c r="L159" s="57">
        <f t="shared" si="92"/>
        <v>57.766332185532249</v>
      </c>
      <c r="M159" s="57">
        <f t="shared" si="92"/>
        <v>42.869568482457048</v>
      </c>
      <c r="N159" s="57">
        <f t="shared" si="92"/>
        <v>41.605726221001177</v>
      </c>
      <c r="O159" s="57">
        <f>SUM(O156+O138)*(1+O158)</f>
        <v>46.703655545049997</v>
      </c>
      <c r="P159" s="122">
        <f>SUM(P156+P138)*(1+P158)</f>
        <v>48.443323766851996</v>
      </c>
      <c r="Q159" s="57">
        <f>SUM(Q156+Q138)*(1+Q158)</f>
        <v>35.258664825234519</v>
      </c>
      <c r="R159" s="68">
        <f>SUM(R156+R138)*(1+R158)</f>
        <v>24.390709217929786</v>
      </c>
      <c r="S159" s="110"/>
      <c r="T159" s="100" t="str">
        <f>'50% Exceedance Baseline'!T159</f>
        <v>Total of all upstream input flow adjusted for streambed loss or gain</v>
      </c>
    </row>
    <row r="160" spans="2:21" ht="15.75" thickBot="1" x14ac:dyDescent="0.3">
      <c r="B160" s="71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3"/>
      <c r="S160" s="110"/>
    </row>
    <row r="161" spans="2:20" ht="15.75" thickBot="1" x14ac:dyDescent="0.3">
      <c r="B161" s="24" t="s">
        <v>58</v>
      </c>
      <c r="C161" s="123">
        <f>'50% Exceedance Baseline'!C161</f>
        <v>1030</v>
      </c>
      <c r="D161" s="123">
        <f>'50% Exceedance Baseline'!D161</f>
        <v>881.5</v>
      </c>
      <c r="E161" s="123">
        <f>'50% Exceedance Baseline'!E161</f>
        <v>764</v>
      </c>
      <c r="F161" s="123">
        <f>'50% Exceedance Baseline'!F161</f>
        <v>563</v>
      </c>
      <c r="G161" s="123">
        <f>'50% Exceedance Baseline'!G161</f>
        <v>276.5</v>
      </c>
      <c r="H161" s="123">
        <f>'50% Exceedance Baseline'!H161</f>
        <v>107</v>
      </c>
      <c r="I161" s="123">
        <f>'50% Exceedance Baseline'!I161</f>
        <v>49</v>
      </c>
      <c r="J161" s="123">
        <f>'50% Exceedance Baseline'!J161</f>
        <v>22</v>
      </c>
      <c r="K161" s="123">
        <f>'50% Exceedance Baseline'!K161</f>
        <v>15</v>
      </c>
      <c r="L161" s="123">
        <f>'50% Exceedance Baseline'!L161</f>
        <v>14</v>
      </c>
      <c r="M161" s="123">
        <f>'50% Exceedance Baseline'!M161</f>
        <v>23</v>
      </c>
      <c r="N161" s="123">
        <f>'50% Exceedance Baseline'!N161</f>
        <v>40</v>
      </c>
      <c r="O161" s="123">
        <f>'50% Exceedance Baseline'!O161</f>
        <v>48</v>
      </c>
      <c r="P161" s="123">
        <f>'50% Exceedance Baseline'!P161</f>
        <v>61</v>
      </c>
      <c r="Q161" s="123">
        <f>'50% Exceedance Baseline'!Q161</f>
        <v>110</v>
      </c>
      <c r="R161" s="123">
        <f>'50% Exceedance Baseline'!R161</f>
        <v>244</v>
      </c>
      <c r="S161" s="27"/>
      <c r="T161" s="100" t="str">
        <f>'50% Exceedance Baseline'!T161</f>
        <v>Median flow data at S-111 gage (1951-2016)</v>
      </c>
    </row>
    <row r="162" spans="2:20" x14ac:dyDescent="0.25">
      <c r="B162" s="47" t="s">
        <v>51</v>
      </c>
      <c r="C162" s="48">
        <f>C161+C159</f>
        <v>1030</v>
      </c>
      <c r="D162" s="48">
        <f t="shared" ref="D162:E162" si="93">D161+D159</f>
        <v>881.5</v>
      </c>
      <c r="E162" s="48">
        <f t="shared" si="93"/>
        <v>764</v>
      </c>
      <c r="F162" s="48">
        <f>F161+F159</f>
        <v>654.02747391907997</v>
      </c>
      <c r="G162" s="48">
        <f t="shared" ref="G162:H162" si="94">G161+G159</f>
        <v>416.68878129903999</v>
      </c>
      <c r="H162" s="48">
        <f t="shared" si="94"/>
        <v>200.04909592979999</v>
      </c>
      <c r="I162" s="48">
        <f>I161+I159</f>
        <v>102.73957132047104</v>
      </c>
      <c r="J162" s="48">
        <f t="shared" ref="J162:N162" si="95">J161+J159</f>
        <v>76.985549189196803</v>
      </c>
      <c r="K162" s="48">
        <f t="shared" si="95"/>
        <v>72.192727074985612</v>
      </c>
      <c r="L162" s="48">
        <f t="shared" si="95"/>
        <v>71.766332185532249</v>
      </c>
      <c r="M162" s="48">
        <f t="shared" si="95"/>
        <v>65.869568482457055</v>
      </c>
      <c r="N162" s="48">
        <f t="shared" si="95"/>
        <v>81.605726221001177</v>
      </c>
      <c r="O162" s="48">
        <f>O161+O159</f>
        <v>94.703655545049997</v>
      </c>
      <c r="P162" s="48">
        <f>P161+P159</f>
        <v>109.44332376685199</v>
      </c>
      <c r="Q162" s="48">
        <f>Q161+Q159</f>
        <v>145.25866482523452</v>
      </c>
      <c r="R162" s="49">
        <f>R161+R159</f>
        <v>268.39070921792978</v>
      </c>
      <c r="S162" s="111"/>
      <c r="T162" s="100" t="str">
        <f>'50% Exceedance Baseline'!T162</f>
        <v>Flow gage data plus cumulative inputs adjusted for streambed loss or gain</v>
      </c>
    </row>
    <row r="163" spans="2:20" x14ac:dyDescent="0.25">
      <c r="B163" s="10" t="s">
        <v>8</v>
      </c>
      <c r="C163" s="8">
        <f>$C$16</f>
        <v>150</v>
      </c>
      <c r="D163" s="8">
        <f>$D$16</f>
        <v>150</v>
      </c>
      <c r="E163" s="8">
        <f>$E$16</f>
        <v>150</v>
      </c>
      <c r="F163" s="8">
        <f>$F$16</f>
        <v>150</v>
      </c>
      <c r="G163" s="8">
        <f>$G$16</f>
        <v>150</v>
      </c>
      <c r="H163" s="8">
        <f>$H$16</f>
        <v>100</v>
      </c>
      <c r="I163" s="8">
        <f>$I$16</f>
        <v>65</v>
      </c>
      <c r="J163" s="8">
        <f>$J$16</f>
        <v>65</v>
      </c>
      <c r="K163" s="8">
        <f>$K$16</f>
        <v>65</v>
      </c>
      <c r="L163" s="8">
        <f>$L$16</f>
        <v>65</v>
      </c>
      <c r="M163" s="8">
        <f>$M$16</f>
        <v>65</v>
      </c>
      <c r="N163" s="8">
        <f>$N$16</f>
        <v>65</v>
      </c>
      <c r="O163" s="8">
        <f>$O$16</f>
        <v>65</v>
      </c>
      <c r="P163" s="8">
        <f>$P$16</f>
        <v>65</v>
      </c>
      <c r="Q163" s="8">
        <f>$Q$16</f>
        <v>65</v>
      </c>
      <c r="R163" s="9">
        <f>$R$16</f>
        <v>65</v>
      </c>
      <c r="S163" s="112"/>
      <c r="T163" s="100" t="str">
        <f>'50% Exceedance Baseline'!T163</f>
        <v>Target flows</v>
      </c>
    </row>
    <row r="164" spans="2:20" ht="15.75" thickBot="1" x14ac:dyDescent="0.3">
      <c r="B164" s="37" t="s">
        <v>16</v>
      </c>
      <c r="C164" s="38">
        <f>IF(C162&gt;C163,0,(C163-C162)*-1)</f>
        <v>0</v>
      </c>
      <c r="D164" s="38">
        <f t="shared" ref="D164:E164" si="96">IF(D162&gt;D163,0,(D163-D162)*-1)</f>
        <v>0</v>
      </c>
      <c r="E164" s="38">
        <f t="shared" si="96"/>
        <v>0</v>
      </c>
      <c r="F164" s="38">
        <f>IF(F162&gt;F163,0,(F163-F162)*-1)</f>
        <v>0</v>
      </c>
      <c r="G164" s="38">
        <f t="shared" ref="G164" si="97">IF(G162&gt;G163,0,(G163-G162)*-1)</f>
        <v>0</v>
      </c>
      <c r="H164" s="38">
        <f>IF(H162&gt;H163,0,(H163-H162)*-1)</f>
        <v>0</v>
      </c>
      <c r="I164" s="38">
        <f t="shared" ref="I164:N164" si="98">IF(I162&gt;I163,0,(I163-I162)*-1)</f>
        <v>0</v>
      </c>
      <c r="J164" s="38">
        <f t="shared" si="98"/>
        <v>0</v>
      </c>
      <c r="K164" s="38">
        <f>IF(K162&gt;K163,0,(K163-K162)*-1)</f>
        <v>0</v>
      </c>
      <c r="L164" s="38">
        <f>IF(L162&gt;L163,0,(L163-L162)*-1)</f>
        <v>0</v>
      </c>
      <c r="M164" s="38">
        <f t="shared" si="98"/>
        <v>0</v>
      </c>
      <c r="N164" s="38">
        <f t="shared" si="98"/>
        <v>0</v>
      </c>
      <c r="O164" s="38">
        <f>IF(O162&gt;O163,0,(O163-O162)*-1)</f>
        <v>0</v>
      </c>
      <c r="P164" s="38">
        <f>IF(P162&gt;P163,0,(P163-P162)*-1)</f>
        <v>0</v>
      </c>
      <c r="Q164" s="38">
        <f>IF(Q162&gt;Q163,0,(Q163-Q162)*-1)</f>
        <v>0</v>
      </c>
      <c r="R164" s="39">
        <f>IF(R162&gt;R163,0,(R163-R162)*-1)</f>
        <v>0</v>
      </c>
      <c r="S164" s="105"/>
      <c r="T164" s="100" t="str">
        <f>'50% Exceedance Baseline'!T164</f>
        <v>Deficit between target flows and flow gage data plus total adjusted inputs</v>
      </c>
    </row>
    <row r="165" spans="2:20" x14ac:dyDescent="0.25">
      <c r="B165" s="40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105"/>
    </row>
    <row r="166" spans="2:20" ht="15.75" thickBot="1" x14ac:dyDescent="0.3">
      <c r="B166" s="67" t="s">
        <v>62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18"/>
    </row>
    <row r="167" spans="2:20" ht="15.75" thickBot="1" x14ac:dyDescent="0.3">
      <c r="B167" s="94" t="s">
        <v>5</v>
      </c>
      <c r="C167" s="46">
        <v>0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121">
        <v>0</v>
      </c>
      <c r="R167" s="46">
        <v>0</v>
      </c>
      <c r="S167" s="105"/>
      <c r="T167" s="100" t="str">
        <f>'50% Exceedance Baseline'!T167</f>
        <v>Flow input between Mgt. Pt. 7 and Mgt. Pt. 8</v>
      </c>
    </row>
    <row r="168" spans="2:20" x14ac:dyDescent="0.25">
      <c r="B168" s="95" t="s">
        <v>7</v>
      </c>
      <c r="C168" s="16">
        <f>IF(C182&gt;C181,((C182-C181)*-1),((C181-C182)))</f>
        <v>667.29318639999997</v>
      </c>
      <c r="D168" s="16">
        <f t="shared" ref="D168:E168" si="99">IF(D182&gt;D181,((D182-D181)*-1),((D181-D182)))</f>
        <v>303.71796180000001</v>
      </c>
      <c r="E168" s="16">
        <f t="shared" si="99"/>
        <v>161.46826600000003</v>
      </c>
      <c r="F168" s="16">
        <f>IF(F182&gt;F181,((F182-F181)*-1),((F181-F182)))</f>
        <v>99.32286803512514</v>
      </c>
      <c r="G168" s="16">
        <f>IF(G182&gt;G181,((G182-G181)*-1),((G181-G182)))</f>
        <v>25.564437459354053</v>
      </c>
      <c r="H168" s="16">
        <f t="shared" ref="H168:R168" si="100">IF(H182&gt;H181,((H182-H181)*-1),((H181-H182)))</f>
        <v>46.934122607454583</v>
      </c>
      <c r="I168" s="16">
        <f t="shared" si="100"/>
        <v>32.745501702029543</v>
      </c>
      <c r="J168" s="16">
        <f t="shared" si="100"/>
        <v>2.2003624394657493</v>
      </c>
      <c r="K168" s="16">
        <f t="shared" si="100"/>
        <v>-16.787363965684079</v>
      </c>
      <c r="L168" s="16">
        <f t="shared" si="100"/>
        <v>-15.940514730929152</v>
      </c>
      <c r="M168" s="16">
        <f t="shared" si="100"/>
        <v>24.978113491317018</v>
      </c>
      <c r="N168" s="16">
        <f t="shared" si="100"/>
        <v>23.340784908351594</v>
      </c>
      <c r="O168" s="16">
        <f t="shared" si="100"/>
        <v>25.876274889466004</v>
      </c>
      <c r="P168" s="16">
        <f t="shared" si="100"/>
        <v>50.271796912244639</v>
      </c>
      <c r="Q168" s="16">
        <f t="shared" si="100"/>
        <v>77.249748929309561</v>
      </c>
      <c r="R168" s="14">
        <f t="shared" si="100"/>
        <v>138.61195666766733</v>
      </c>
      <c r="S168" s="18"/>
      <c r="T168" s="100" t="str">
        <f>'50% Exceedance Baseline'!T168</f>
        <v>Flow target surplus or deficit after input</v>
      </c>
    </row>
    <row r="169" spans="2:20" ht="15.75" thickBot="1" x14ac:dyDescent="0.3">
      <c r="B169" s="96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7"/>
      <c r="S169" s="18"/>
    </row>
    <row r="170" spans="2:20" ht="15.75" thickBot="1" x14ac:dyDescent="0.3">
      <c r="B170" s="97" t="s">
        <v>6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121">
        <v>0</v>
      </c>
      <c r="R170" s="46">
        <v>0</v>
      </c>
      <c r="S170" s="105"/>
      <c r="T170" s="100" t="str">
        <f>'50% Exceedance Baseline'!T170</f>
        <v>Flow input between Mgt. Pt. 7 and Mgt. Pt. 8</v>
      </c>
    </row>
    <row r="171" spans="2:20" x14ac:dyDescent="0.25">
      <c r="B171" s="95" t="s">
        <v>7</v>
      </c>
      <c r="C171" s="16">
        <f>IF(C182&gt;C181,((C182-C181)*-1),((C181-C182)))</f>
        <v>667.29318639999997</v>
      </c>
      <c r="D171" s="16">
        <f t="shared" ref="D171:R171" si="101">IF(D182&gt;D181,((D182-D181)*-1),((D181-D182)))</f>
        <v>303.71796180000001</v>
      </c>
      <c r="E171" s="16">
        <f t="shared" si="101"/>
        <v>161.46826600000003</v>
      </c>
      <c r="F171" s="16">
        <f t="shared" si="101"/>
        <v>99.32286803512514</v>
      </c>
      <c r="G171" s="16">
        <f t="shared" si="101"/>
        <v>25.564437459354053</v>
      </c>
      <c r="H171" s="16">
        <f t="shared" si="101"/>
        <v>46.934122607454583</v>
      </c>
      <c r="I171" s="16">
        <f t="shared" si="101"/>
        <v>32.745501702029543</v>
      </c>
      <c r="J171" s="16">
        <f t="shared" si="101"/>
        <v>2.2003624394657493</v>
      </c>
      <c r="K171" s="16">
        <f t="shared" si="101"/>
        <v>-16.787363965684079</v>
      </c>
      <c r="L171" s="16">
        <f t="shared" si="101"/>
        <v>-15.940514730929152</v>
      </c>
      <c r="M171" s="16">
        <f t="shared" si="101"/>
        <v>24.978113491317018</v>
      </c>
      <c r="N171" s="16">
        <f t="shared" si="101"/>
        <v>23.340784908351594</v>
      </c>
      <c r="O171" s="16">
        <f t="shared" si="101"/>
        <v>25.876274889466004</v>
      </c>
      <c r="P171" s="16">
        <f t="shared" si="101"/>
        <v>50.271796912244639</v>
      </c>
      <c r="Q171" s="16">
        <f t="shared" si="101"/>
        <v>77.249748929309561</v>
      </c>
      <c r="R171" s="14">
        <f t="shared" si="101"/>
        <v>138.61195666766733</v>
      </c>
      <c r="S171" s="18"/>
      <c r="T171" s="100" t="str">
        <f>'50% Exceedance Baseline'!T171</f>
        <v>Flow target surplus or deficit after input</v>
      </c>
    </row>
    <row r="172" spans="2:20" ht="15.75" thickBot="1" x14ac:dyDescent="0.3">
      <c r="B172" s="96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7"/>
      <c r="S172" s="18"/>
    </row>
    <row r="173" spans="2:20" ht="15.75" thickBot="1" x14ac:dyDescent="0.3">
      <c r="B173" s="73" t="s">
        <v>60</v>
      </c>
      <c r="C173" s="46">
        <v>0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121">
        <v>0</v>
      </c>
      <c r="R173" s="46">
        <v>0</v>
      </c>
      <c r="S173" s="105"/>
      <c r="T173" s="100" t="str">
        <f>'50% Exceedance Baseline'!T173</f>
        <v>Flow input between Mgt. Pt. 7 and Mgt. Pt. 8</v>
      </c>
    </row>
    <row r="174" spans="2:20" x14ac:dyDescent="0.25">
      <c r="B174" s="95" t="s">
        <v>7</v>
      </c>
      <c r="C174" s="16">
        <f>IF(C182&gt;C181,((C182-C181)*-1),((C181-C182)))</f>
        <v>667.29318639999997</v>
      </c>
      <c r="D174" s="16">
        <f t="shared" ref="D174" si="102">IF(D182&gt;D181,((D182-D181)*-1),((D181-D182)))</f>
        <v>303.71796180000001</v>
      </c>
      <c r="E174" s="16">
        <f>IF(E182&gt;E181,((E182-E181)*-1),((E181-E182)))</f>
        <v>161.46826600000003</v>
      </c>
      <c r="F174" s="16">
        <f t="shared" ref="F174:R174" si="103">IF(F182&gt;F181,((F182-F181)*-1),((F181-F182)))</f>
        <v>99.32286803512514</v>
      </c>
      <c r="G174" s="16">
        <f t="shared" si="103"/>
        <v>25.564437459354053</v>
      </c>
      <c r="H174" s="16">
        <f t="shared" si="103"/>
        <v>46.934122607454583</v>
      </c>
      <c r="I174" s="16">
        <f t="shared" si="103"/>
        <v>32.745501702029543</v>
      </c>
      <c r="J174" s="16">
        <f t="shared" si="103"/>
        <v>2.2003624394657493</v>
      </c>
      <c r="K174" s="16">
        <f t="shared" si="103"/>
        <v>-16.787363965684079</v>
      </c>
      <c r="L174" s="16">
        <f t="shared" si="103"/>
        <v>-15.940514730929152</v>
      </c>
      <c r="M174" s="16">
        <f t="shared" si="103"/>
        <v>24.978113491317018</v>
      </c>
      <c r="N174" s="16">
        <f t="shared" si="103"/>
        <v>23.340784908351594</v>
      </c>
      <c r="O174" s="16">
        <f t="shared" si="103"/>
        <v>25.876274889466004</v>
      </c>
      <c r="P174" s="16">
        <f t="shared" si="103"/>
        <v>50.271796912244639</v>
      </c>
      <c r="Q174" s="16">
        <f t="shared" si="103"/>
        <v>77.249748929309561</v>
      </c>
      <c r="R174" s="14">
        <f t="shared" si="103"/>
        <v>138.61195666766733</v>
      </c>
      <c r="S174" s="18"/>
      <c r="T174" s="100" t="str">
        <f>'50% Exceedance Baseline'!T174</f>
        <v>Flow target surplus or deficit after input</v>
      </c>
    </row>
    <row r="175" spans="2:20" x14ac:dyDescent="0.25">
      <c r="B175" s="98" t="s">
        <v>27</v>
      </c>
      <c r="C175" s="18">
        <f t="shared" ref="C175:F175" si="104">SUM(C167+C170+C173)</f>
        <v>0</v>
      </c>
      <c r="D175" s="18">
        <f t="shared" si="104"/>
        <v>0</v>
      </c>
      <c r="E175" s="18">
        <f t="shared" si="104"/>
        <v>0</v>
      </c>
      <c r="F175" s="18">
        <f t="shared" si="104"/>
        <v>0</v>
      </c>
      <c r="G175" s="18">
        <f>SUM(G167+G170+G173)</f>
        <v>0</v>
      </c>
      <c r="H175" s="18">
        <f t="shared" ref="H175:N175" si="105">SUM(H167+H170+H173)</f>
        <v>0</v>
      </c>
      <c r="I175" s="18">
        <f t="shared" si="105"/>
        <v>0</v>
      </c>
      <c r="J175" s="18">
        <f t="shared" si="105"/>
        <v>0</v>
      </c>
      <c r="K175" s="18">
        <f t="shared" si="105"/>
        <v>0</v>
      </c>
      <c r="L175" s="18">
        <f t="shared" si="105"/>
        <v>0</v>
      </c>
      <c r="M175" s="18">
        <f t="shared" si="105"/>
        <v>0</v>
      </c>
      <c r="N175" s="18">
        <f t="shared" si="105"/>
        <v>0</v>
      </c>
      <c r="O175" s="18">
        <f>SUM(O167+O170+O173)</f>
        <v>0</v>
      </c>
      <c r="P175" s="18">
        <f>SUM(P167+P170+P173)</f>
        <v>0</v>
      </c>
      <c r="Q175" s="18">
        <f>SUM(Q167+Q170+Q173)</f>
        <v>0</v>
      </c>
      <c r="R175" s="17">
        <f>SUM(R167+R170+R173)</f>
        <v>0</v>
      </c>
      <c r="S175" s="18"/>
      <c r="T175" s="100" t="str">
        <f>'50% Exceedance Baseline'!T175</f>
        <v>Subtotal of all inputs in Touchet Confluence to Pierce RV reach</v>
      </c>
    </row>
    <row r="176" spans="2:20" ht="15.75" thickBot="1" x14ac:dyDescent="0.3">
      <c r="B176" s="96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3"/>
      <c r="S176" s="118"/>
    </row>
    <row r="177" spans="2:21" s="64" customFormat="1" ht="15.75" thickBot="1" x14ac:dyDescent="0.3">
      <c r="B177" s="70" t="s">
        <v>69</v>
      </c>
      <c r="C177" s="69">
        <f>'50% Exceedance Baseline'!C177</f>
        <v>-0.223</v>
      </c>
      <c r="D177" s="69">
        <f>'50% Exceedance Baseline'!D177</f>
        <v>-0.223</v>
      </c>
      <c r="E177" s="69">
        <f>'50% Exceedance Baseline'!E177</f>
        <v>-0.223</v>
      </c>
      <c r="F177" s="69">
        <f>'50% Exceedance Baseline'!F177</f>
        <v>-0.223</v>
      </c>
      <c r="G177" s="69">
        <f>'50% Exceedance Baseline'!G177</f>
        <v>-0.223</v>
      </c>
      <c r="H177" s="69">
        <f>'50% Exceedance Baseline'!H177</f>
        <v>-0.223</v>
      </c>
      <c r="I177" s="69">
        <f>'50% Exceedance Baseline'!I177</f>
        <v>-0.17299999999999999</v>
      </c>
      <c r="J177" s="69">
        <f>'50% Exceedance Baseline'!J177</f>
        <v>-0.17299999999999999</v>
      </c>
      <c r="K177" s="69">
        <f>'50% Exceedance Baseline'!K177</f>
        <v>-0.36899999999999999</v>
      </c>
      <c r="L177" s="69">
        <f>'50% Exceedance Baseline'!L177</f>
        <v>-0.36899999999999999</v>
      </c>
      <c r="M177" s="82">
        <f>'50% Exceedance Baseline'!M177</f>
        <v>0.35</v>
      </c>
      <c r="N177" s="82">
        <f>'50% Exceedance Baseline'!N177</f>
        <v>0.35</v>
      </c>
      <c r="O177" s="82">
        <f>'50% Exceedance Baseline'!O177</f>
        <v>0.32</v>
      </c>
      <c r="P177" s="82">
        <f>'50% Exceedance Baseline'!P177</f>
        <v>0.32</v>
      </c>
      <c r="Q177" s="82">
        <f>'50% Exceedance Baseline'!Q177</f>
        <v>0.32</v>
      </c>
      <c r="R177" s="82">
        <f>'50% Exceedance Baseline'!R177</f>
        <v>0.32</v>
      </c>
      <c r="S177" s="107"/>
      <c r="T177" s="100" t="str">
        <f>'50% Exceedance Baseline'!T177</f>
        <v>Percentage total inputs lost or gained due to streambed hydrology (2002-2015 WWBWC seepage data)</v>
      </c>
      <c r="U177" s="83"/>
    </row>
    <row r="178" spans="2:21" x14ac:dyDescent="0.25">
      <c r="B178" s="84" t="s">
        <v>20</v>
      </c>
      <c r="C178" s="57">
        <f>SUM(C175+C159)*(1+C177)</f>
        <v>0</v>
      </c>
      <c r="D178" s="57">
        <f t="shared" ref="D178:N178" si="106">SUM(D175+D159)*(1+D177)</f>
        <v>0</v>
      </c>
      <c r="E178" s="57">
        <f t="shared" si="106"/>
        <v>0</v>
      </c>
      <c r="F178" s="57">
        <f t="shared" si="106"/>
        <v>70.728347235125142</v>
      </c>
      <c r="G178" s="57">
        <f t="shared" si="106"/>
        <v>108.92668306935407</v>
      </c>
      <c r="H178" s="57">
        <f t="shared" si="106"/>
        <v>72.299147537454587</v>
      </c>
      <c r="I178" s="57">
        <f t="shared" si="106"/>
        <v>44.442625482029548</v>
      </c>
      <c r="J178" s="57">
        <f t="shared" si="106"/>
        <v>45.473049179465754</v>
      </c>
      <c r="K178" s="57">
        <f t="shared" si="106"/>
        <v>36.088610784315918</v>
      </c>
      <c r="L178" s="57">
        <f t="shared" si="106"/>
        <v>36.450555609070847</v>
      </c>
      <c r="M178" s="57">
        <f t="shared" si="106"/>
        <v>57.87391745131702</v>
      </c>
      <c r="N178" s="57">
        <f t="shared" si="106"/>
        <v>56.167730398351594</v>
      </c>
      <c r="O178" s="57">
        <f>SUM(O175+O159)*(1+O177)</f>
        <v>61.648825319465999</v>
      </c>
      <c r="P178" s="57">
        <f>SUM(P175+P159)*(1+P177)</f>
        <v>63.945187372244639</v>
      </c>
      <c r="Q178" s="57">
        <f>SUM(Q175+Q159)*(1+Q177)</f>
        <v>46.541437569309565</v>
      </c>
      <c r="R178" s="58">
        <f>SUM(R175+R159)*(1+R177)</f>
        <v>32.19573616766732</v>
      </c>
      <c r="S178" s="110"/>
      <c r="T178" s="100" t="str">
        <f>'50% Exceedance Baseline'!T178</f>
        <v>Total of all upstream input flow adjusted for streambed loss or gain</v>
      </c>
    </row>
    <row r="179" spans="2:21" ht="15.75" thickBot="1" x14ac:dyDescent="0.3">
      <c r="B179" s="71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3"/>
      <c r="S179" s="110"/>
    </row>
    <row r="180" spans="2:21" ht="15.75" thickBot="1" x14ac:dyDescent="0.3">
      <c r="B180" s="24" t="s">
        <v>59</v>
      </c>
      <c r="C180" s="123">
        <f>'50% Exceedance Baseline'!C180</f>
        <v>817.29318639999997</v>
      </c>
      <c r="D180" s="123">
        <f>'50% Exceedance Baseline'!D180</f>
        <v>453.71796180000001</v>
      </c>
      <c r="E180" s="123">
        <f>'50% Exceedance Baseline'!E180</f>
        <v>311.46826600000003</v>
      </c>
      <c r="F180" s="123">
        <f>'50% Exceedance Baseline'!F180</f>
        <v>178.5945208</v>
      </c>
      <c r="G180" s="123">
        <f>'50% Exceedance Baseline'!G180</f>
        <v>66.637754389999998</v>
      </c>
      <c r="H180" s="123">
        <f>'50% Exceedance Baseline'!H180</f>
        <v>74.634975069999996</v>
      </c>
      <c r="I180" s="123">
        <f>'50% Exceedance Baseline'!I180</f>
        <v>53.302876220000002</v>
      </c>
      <c r="J180" s="123">
        <f>'50% Exceedance Baseline'!J180</f>
        <v>21.727313259999999</v>
      </c>
      <c r="K180" s="123">
        <f>'50% Exceedance Baseline'!K180</f>
        <v>12.124025250000001</v>
      </c>
      <c r="L180" s="123">
        <f>'50% Exceedance Baseline'!L180</f>
        <v>12.608929659999999</v>
      </c>
      <c r="M180" s="123">
        <f>'50% Exceedance Baseline'!M180</f>
        <v>32.104196039999998</v>
      </c>
      <c r="N180" s="123">
        <f>'50% Exceedance Baseline'!N180</f>
        <v>32.17305451</v>
      </c>
      <c r="O180" s="123">
        <f>'50% Exceedance Baseline'!O180</f>
        <v>29.227449570000001</v>
      </c>
      <c r="P180" s="123">
        <f>'50% Exceedance Baseline'!P180</f>
        <v>51.32660954</v>
      </c>
      <c r="Q180" s="123">
        <f>'50% Exceedance Baseline'!Q180</f>
        <v>95.708311359999996</v>
      </c>
      <c r="R180" s="123">
        <f>'50% Exceedance Baseline'!R180</f>
        <v>171.41622050000001</v>
      </c>
      <c r="S180" s="27"/>
      <c r="T180" s="100" t="str">
        <f>'50% Exceedance Baseline'!T180</f>
        <v>Median flow data at S-125 gage (2013-2016)</v>
      </c>
    </row>
    <row r="181" spans="2:21" x14ac:dyDescent="0.25">
      <c r="B181" s="47" t="s">
        <v>42</v>
      </c>
      <c r="C181" s="48">
        <f>C180+C178</f>
        <v>817.29318639999997</v>
      </c>
      <c r="D181" s="48">
        <f t="shared" ref="D181:E181" si="107">D180+D178</f>
        <v>453.71796180000001</v>
      </c>
      <c r="E181" s="48">
        <f t="shared" si="107"/>
        <v>311.46826600000003</v>
      </c>
      <c r="F181" s="48">
        <f>F180+F178</f>
        <v>249.32286803512514</v>
      </c>
      <c r="G181" s="48">
        <f t="shared" ref="G181:H181" si="108">G180+G178</f>
        <v>175.56443745935405</v>
      </c>
      <c r="H181" s="48">
        <f t="shared" si="108"/>
        <v>146.93412260745458</v>
      </c>
      <c r="I181" s="48">
        <f>I180+I178</f>
        <v>97.745501702029543</v>
      </c>
      <c r="J181" s="48">
        <f t="shared" ref="J181:N181" si="109">J180+J178</f>
        <v>67.200362439465749</v>
      </c>
      <c r="K181" s="48">
        <f t="shared" si="109"/>
        <v>48.212636034315921</v>
      </c>
      <c r="L181" s="48">
        <f t="shared" si="109"/>
        <v>49.059485269070848</v>
      </c>
      <c r="M181" s="48">
        <f t="shared" si="109"/>
        <v>89.978113491317018</v>
      </c>
      <c r="N181" s="48">
        <f t="shared" si="109"/>
        <v>88.340784908351594</v>
      </c>
      <c r="O181" s="48">
        <f>O180+O178</f>
        <v>90.876274889466004</v>
      </c>
      <c r="P181" s="48">
        <f>P180+P178</f>
        <v>115.27179691224464</v>
      </c>
      <c r="Q181" s="48">
        <f>Q180+Q178</f>
        <v>142.24974892930956</v>
      </c>
      <c r="R181" s="49">
        <f>R180+R178</f>
        <v>203.61195666766733</v>
      </c>
      <c r="S181" s="111"/>
      <c r="T181" s="100" t="str">
        <f>'50% Exceedance Baseline'!T181</f>
        <v>Flow gage data plus cumulative inputs adjusted for streambed loss or gain</v>
      </c>
    </row>
    <row r="182" spans="2:21" x14ac:dyDescent="0.25">
      <c r="B182" s="10" t="s">
        <v>8</v>
      </c>
      <c r="C182" s="8">
        <f>$C$16</f>
        <v>150</v>
      </c>
      <c r="D182" s="8">
        <f>$D$16</f>
        <v>150</v>
      </c>
      <c r="E182" s="8">
        <f>$E$16</f>
        <v>150</v>
      </c>
      <c r="F182" s="8">
        <f>$F$16</f>
        <v>150</v>
      </c>
      <c r="G182" s="8">
        <f>$G$16</f>
        <v>150</v>
      </c>
      <c r="H182" s="8">
        <f>$H$16</f>
        <v>100</v>
      </c>
      <c r="I182" s="8">
        <f>$I$16</f>
        <v>65</v>
      </c>
      <c r="J182" s="8">
        <f>$J$16</f>
        <v>65</v>
      </c>
      <c r="K182" s="8">
        <f>$K$16</f>
        <v>65</v>
      </c>
      <c r="L182" s="8">
        <f>$L$16</f>
        <v>65</v>
      </c>
      <c r="M182" s="8">
        <f>$M$16</f>
        <v>65</v>
      </c>
      <c r="N182" s="8">
        <f>$N$16</f>
        <v>65</v>
      </c>
      <c r="O182" s="8">
        <f>$O$16</f>
        <v>65</v>
      </c>
      <c r="P182" s="8">
        <f>$P$16</f>
        <v>65</v>
      </c>
      <c r="Q182" s="8">
        <f>$Q$16</f>
        <v>65</v>
      </c>
      <c r="R182" s="9">
        <f>$R$16</f>
        <v>65</v>
      </c>
      <c r="S182" s="112"/>
      <c r="T182" s="100" t="str">
        <f>'50% Exceedance Baseline'!T182</f>
        <v>Target flows</v>
      </c>
    </row>
    <row r="183" spans="2:21" ht="15.75" thickBot="1" x14ac:dyDescent="0.3">
      <c r="B183" s="37" t="s">
        <v>17</v>
      </c>
      <c r="C183" s="38">
        <f>IF(C181&gt;C182,0,(C182-C181)*-1)</f>
        <v>0</v>
      </c>
      <c r="D183" s="38">
        <f t="shared" ref="D183:E183" si="110">IF(D181&gt;D182,0,(D182-D181)*-1)</f>
        <v>0</v>
      </c>
      <c r="E183" s="38">
        <f t="shared" si="110"/>
        <v>0</v>
      </c>
      <c r="F183" s="38">
        <f>IF(F181&gt;F182,0,(F182-F181)*-1)</f>
        <v>0</v>
      </c>
      <c r="G183" s="38">
        <f>IF(G181&gt;G182,0,(G182-G181)*-1)</f>
        <v>0</v>
      </c>
      <c r="H183" s="38">
        <f>IF(H181&gt;H182,0,(H182-H181)*-1)</f>
        <v>0</v>
      </c>
      <c r="I183" s="38">
        <f t="shared" ref="I183:N183" si="111">IF(I181&gt;I182,0,(I182-I181)*-1)</f>
        <v>0</v>
      </c>
      <c r="J183" s="38">
        <f>IF(J181&gt;J182,0,(J182-J181)*-1)</f>
        <v>0</v>
      </c>
      <c r="K183" s="38">
        <f t="shared" si="111"/>
        <v>-16.787363965684079</v>
      </c>
      <c r="L183" s="38">
        <f t="shared" si="111"/>
        <v>-15.940514730929152</v>
      </c>
      <c r="M183" s="38">
        <f t="shared" si="111"/>
        <v>0</v>
      </c>
      <c r="N183" s="38">
        <f t="shared" si="111"/>
        <v>0</v>
      </c>
      <c r="O183" s="38">
        <f>IF(O181&gt;O182,0,(O182-O181)*-1)</f>
        <v>0</v>
      </c>
      <c r="P183" s="38">
        <f>IF(P181&gt;P182,0,(P182-P181)*-1)</f>
        <v>0</v>
      </c>
      <c r="Q183" s="38">
        <f>IF(Q181&gt;Q182,0,(Q182-Q181)*-1)</f>
        <v>0</v>
      </c>
      <c r="R183" s="39">
        <f>IF(R181&gt;R182,0,(R182-R181)*-1)</f>
        <v>0</v>
      </c>
      <c r="S183" s="105"/>
      <c r="T183" s="100" t="str">
        <f>'50% Exceedance Baseline'!T183</f>
        <v>Deficit between target flows and flow gage data plus total adjusted inputs</v>
      </c>
    </row>
    <row r="184" spans="2:21" x14ac:dyDescent="0.2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115"/>
    </row>
    <row r="185" spans="2:21" x14ac:dyDescent="0.25">
      <c r="B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2"/>
      <c r="U185" s="1"/>
    </row>
    <row r="186" spans="2:21" x14ac:dyDescent="0.25">
      <c r="B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2"/>
      <c r="U186" s="1"/>
    </row>
    <row r="187" spans="2:21" x14ac:dyDescent="0.25">
      <c r="B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2"/>
      <c r="U187" s="1"/>
    </row>
    <row r="188" spans="2:21" x14ac:dyDescent="0.25">
      <c r="B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2"/>
      <c r="U188" s="1"/>
    </row>
    <row r="189" spans="2:21" x14ac:dyDescent="0.25">
      <c r="B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2"/>
      <c r="U189" s="1"/>
    </row>
    <row r="190" spans="2:21" x14ac:dyDescent="0.25">
      <c r="B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2"/>
      <c r="U190" s="1"/>
    </row>
    <row r="191" spans="2:21" x14ac:dyDescent="0.25">
      <c r="B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2"/>
      <c r="U191" s="1"/>
    </row>
    <row r="192" spans="2:21" x14ac:dyDescent="0.25">
      <c r="B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2"/>
      <c r="U192" s="1"/>
    </row>
    <row r="193" spans="2:21" x14ac:dyDescent="0.25">
      <c r="B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2"/>
      <c r="U193" s="1"/>
    </row>
    <row r="194" spans="2:21" x14ac:dyDescent="0.25">
      <c r="B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2"/>
      <c r="U194" s="1"/>
    </row>
    <row r="195" spans="2:21" x14ac:dyDescent="0.25">
      <c r="B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2"/>
      <c r="U195" s="1"/>
    </row>
    <row r="196" spans="2:21" x14ac:dyDescent="0.25">
      <c r="B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2"/>
      <c r="U196" s="1"/>
    </row>
    <row r="197" spans="2:21" x14ac:dyDescent="0.25">
      <c r="B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2"/>
      <c r="U197" s="1"/>
    </row>
    <row r="198" spans="2:21" x14ac:dyDescent="0.25">
      <c r="B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2"/>
      <c r="U198" s="1"/>
    </row>
    <row r="199" spans="2:21" x14ac:dyDescent="0.25">
      <c r="B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2"/>
      <c r="U199" s="1"/>
    </row>
    <row r="200" spans="2:21" x14ac:dyDescent="0.25">
      <c r="B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2"/>
      <c r="U200" s="1"/>
    </row>
    <row r="201" spans="2:21" x14ac:dyDescent="0.25">
      <c r="B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2"/>
      <c r="U201" s="1"/>
    </row>
    <row r="202" spans="2:21" x14ac:dyDescent="0.25">
      <c r="B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2"/>
      <c r="U202" s="1"/>
    </row>
  </sheetData>
  <mergeCells count="8">
    <mergeCell ref="O6:P6"/>
    <mergeCell ref="Q6:R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02"/>
  <sheetViews>
    <sheetView zoomScale="80" zoomScaleNormal="80" zoomScalePageLayoutView="125" workbookViewId="0">
      <pane ySplit="17" topLeftCell="A36" activePane="bottomLeft" state="frozen"/>
      <selection pane="bottomLeft" activeCell="G45" sqref="G45"/>
    </sheetView>
  </sheetViews>
  <sheetFormatPr defaultColWidth="8.85546875" defaultRowHeight="15" x14ac:dyDescent="0.25"/>
  <cols>
    <col min="1" max="1" width="4.85546875" style="1" customWidth="1"/>
    <col min="2" max="2" width="55.28515625" style="1" customWidth="1"/>
    <col min="3" max="5" width="8.85546875" style="3" customWidth="1"/>
    <col min="6" max="18" width="8.85546875" style="3"/>
    <col min="19" max="19" width="8.85546875" style="13"/>
    <col min="20" max="20" width="10.140625" style="100" customWidth="1"/>
    <col min="21" max="21" width="8.85546875" style="3"/>
    <col min="22" max="22" width="9" style="1" customWidth="1"/>
    <col min="23" max="23" width="8.85546875" style="1"/>
    <col min="24" max="24" width="18" style="1" customWidth="1"/>
    <col min="25" max="16384" width="8.85546875" style="1"/>
  </cols>
  <sheetData>
    <row r="1" spans="2:25" ht="15.75" thickBot="1" x14ac:dyDescent="0.3"/>
    <row r="2" spans="2:25" x14ac:dyDescent="0.25">
      <c r="B2" s="144" t="s">
        <v>68</v>
      </c>
    </row>
    <row r="3" spans="2:25" x14ac:dyDescent="0.25">
      <c r="B3" s="130" t="s">
        <v>137</v>
      </c>
    </row>
    <row r="4" spans="2:25" ht="18.75" x14ac:dyDescent="0.3">
      <c r="B4" s="74" t="s">
        <v>117</v>
      </c>
      <c r="J4" s="125" t="s">
        <v>106</v>
      </c>
    </row>
    <row r="5" spans="2:25" ht="15.75" thickBot="1" x14ac:dyDescent="0.3">
      <c r="B5" s="134" t="s">
        <v>114</v>
      </c>
    </row>
    <row r="6" spans="2:25" ht="15.75" thickBot="1" x14ac:dyDescent="0.3">
      <c r="B6" s="33"/>
      <c r="C6" s="165" t="s">
        <v>29</v>
      </c>
      <c r="D6" s="165"/>
      <c r="E6" s="165" t="s">
        <v>30</v>
      </c>
      <c r="F6" s="165"/>
      <c r="G6" s="165" t="s">
        <v>31</v>
      </c>
      <c r="H6" s="165"/>
      <c r="I6" s="165" t="s">
        <v>32</v>
      </c>
      <c r="J6" s="165"/>
      <c r="K6" s="165" t="s">
        <v>33</v>
      </c>
      <c r="L6" s="165"/>
      <c r="M6" s="165" t="s">
        <v>34</v>
      </c>
      <c r="N6" s="165"/>
      <c r="O6" s="165" t="s">
        <v>35</v>
      </c>
      <c r="P6" s="165"/>
      <c r="Q6" s="165" t="s">
        <v>105</v>
      </c>
      <c r="R6" s="165"/>
      <c r="S6" s="27"/>
    </row>
    <row r="7" spans="2:25" s="4" customFormat="1" x14ac:dyDescent="0.25">
      <c r="B7" s="51" t="s">
        <v>43</v>
      </c>
      <c r="C7" s="52">
        <f>C35</f>
        <v>0</v>
      </c>
      <c r="D7" s="52">
        <f t="shared" ref="D7:N7" si="0">D35</f>
        <v>0</v>
      </c>
      <c r="E7" s="52">
        <f t="shared" si="0"/>
        <v>0</v>
      </c>
      <c r="F7" s="52">
        <f t="shared" si="0"/>
        <v>0</v>
      </c>
      <c r="G7" s="52">
        <f t="shared" si="0"/>
        <v>0</v>
      </c>
      <c r="H7" s="52">
        <f t="shared" si="0"/>
        <v>0</v>
      </c>
      <c r="I7" s="52">
        <f t="shared" si="0"/>
        <v>0</v>
      </c>
      <c r="J7" s="52">
        <f t="shared" si="0"/>
        <v>0</v>
      </c>
      <c r="K7" s="52">
        <f t="shared" si="0"/>
        <v>0</v>
      </c>
      <c r="L7" s="52">
        <f t="shared" si="0"/>
        <v>0</v>
      </c>
      <c r="M7" s="52">
        <f t="shared" si="0"/>
        <v>0</v>
      </c>
      <c r="N7" s="52">
        <f t="shared" si="0"/>
        <v>0</v>
      </c>
      <c r="O7" s="52">
        <f>O35</f>
        <v>0</v>
      </c>
      <c r="P7" s="52">
        <f>P35</f>
        <v>0</v>
      </c>
      <c r="Q7" s="52">
        <f>Q35</f>
        <v>0</v>
      </c>
      <c r="R7" s="52">
        <f>R35</f>
        <v>0</v>
      </c>
      <c r="S7" s="105"/>
      <c r="T7" s="100"/>
      <c r="U7" s="131"/>
    </row>
    <row r="8" spans="2:25" s="4" customFormat="1" x14ac:dyDescent="0.25">
      <c r="B8" s="53" t="s">
        <v>44</v>
      </c>
      <c r="C8" s="54">
        <f>C58</f>
        <v>0</v>
      </c>
      <c r="D8" s="54">
        <f t="shared" ref="D8:N8" si="1">D58</f>
        <v>0</v>
      </c>
      <c r="E8" s="54">
        <f t="shared" si="1"/>
        <v>0</v>
      </c>
      <c r="F8" s="54">
        <f t="shared" si="1"/>
        <v>0</v>
      </c>
      <c r="G8" s="54">
        <f t="shared" si="1"/>
        <v>0</v>
      </c>
      <c r="H8" s="54">
        <f t="shared" si="1"/>
        <v>0</v>
      </c>
      <c r="I8" s="54">
        <f t="shared" si="1"/>
        <v>0</v>
      </c>
      <c r="J8" s="54">
        <f t="shared" si="1"/>
        <v>0</v>
      </c>
      <c r="K8" s="54">
        <f t="shared" si="1"/>
        <v>0</v>
      </c>
      <c r="L8" s="54">
        <f t="shared" si="1"/>
        <v>0</v>
      </c>
      <c r="M8" s="54">
        <f t="shared" si="1"/>
        <v>0</v>
      </c>
      <c r="N8" s="54">
        <f t="shared" si="1"/>
        <v>0</v>
      </c>
      <c r="O8" s="54">
        <f>O58</f>
        <v>0</v>
      </c>
      <c r="P8" s="54">
        <f>P58</f>
        <v>0</v>
      </c>
      <c r="Q8" s="54">
        <f>Q58</f>
        <v>0</v>
      </c>
      <c r="R8" s="54">
        <f>R58</f>
        <v>0</v>
      </c>
      <c r="S8" s="105"/>
      <c r="T8" s="100"/>
      <c r="U8" s="131"/>
    </row>
    <row r="9" spans="2:25" s="4" customFormat="1" x14ac:dyDescent="0.25">
      <c r="B9" s="53" t="s">
        <v>45</v>
      </c>
      <c r="C9" s="54">
        <f>C77</f>
        <v>0</v>
      </c>
      <c r="D9" s="54">
        <f t="shared" ref="D9:N9" si="2">D77</f>
        <v>0</v>
      </c>
      <c r="E9" s="54">
        <f t="shared" si="2"/>
        <v>0</v>
      </c>
      <c r="F9" s="54">
        <f t="shared" si="2"/>
        <v>0</v>
      </c>
      <c r="G9" s="54">
        <f t="shared" si="2"/>
        <v>0</v>
      </c>
      <c r="H9" s="54">
        <f t="shared" si="2"/>
        <v>0</v>
      </c>
      <c r="I9" s="54">
        <f t="shared" si="2"/>
        <v>0</v>
      </c>
      <c r="J9" s="54">
        <f t="shared" si="2"/>
        <v>0</v>
      </c>
      <c r="K9" s="54">
        <f t="shared" si="2"/>
        <v>0</v>
      </c>
      <c r="L9" s="54">
        <f t="shared" si="2"/>
        <v>0</v>
      </c>
      <c r="M9" s="54">
        <f t="shared" si="2"/>
        <v>0</v>
      </c>
      <c r="N9" s="54">
        <f t="shared" si="2"/>
        <v>0</v>
      </c>
      <c r="O9" s="54">
        <f>O77</f>
        <v>0</v>
      </c>
      <c r="P9" s="54">
        <f>P77</f>
        <v>0</v>
      </c>
      <c r="Q9" s="54">
        <f>Q77</f>
        <v>0</v>
      </c>
      <c r="R9" s="54">
        <f>R77</f>
        <v>0</v>
      </c>
      <c r="S9" s="105"/>
      <c r="T9" s="100"/>
      <c r="U9" s="131"/>
    </row>
    <row r="10" spans="2:25" s="4" customFormat="1" x14ac:dyDescent="0.25">
      <c r="B10" s="53" t="s">
        <v>46</v>
      </c>
      <c r="C10" s="54">
        <f>C101</f>
        <v>0</v>
      </c>
      <c r="D10" s="54">
        <f t="shared" ref="D10:N10" si="3">D101</f>
        <v>0</v>
      </c>
      <c r="E10" s="54">
        <f t="shared" si="3"/>
        <v>0</v>
      </c>
      <c r="F10" s="54">
        <f t="shared" si="3"/>
        <v>0</v>
      </c>
      <c r="G10" s="54">
        <f t="shared" si="3"/>
        <v>0</v>
      </c>
      <c r="H10" s="54">
        <f t="shared" si="3"/>
        <v>0</v>
      </c>
      <c r="I10" s="54">
        <f t="shared" si="3"/>
        <v>0</v>
      </c>
      <c r="J10" s="54">
        <f t="shared" si="3"/>
        <v>0</v>
      </c>
      <c r="K10" s="54">
        <f t="shared" si="3"/>
        <v>0</v>
      </c>
      <c r="L10" s="54">
        <f t="shared" si="3"/>
        <v>0</v>
      </c>
      <c r="M10" s="54">
        <f t="shared" si="3"/>
        <v>0</v>
      </c>
      <c r="N10" s="54">
        <f t="shared" si="3"/>
        <v>0</v>
      </c>
      <c r="O10" s="54">
        <f>O101</f>
        <v>0</v>
      </c>
      <c r="P10" s="54">
        <f>P101</f>
        <v>0</v>
      </c>
      <c r="Q10" s="54">
        <f>Q101</f>
        <v>0</v>
      </c>
      <c r="R10" s="54">
        <f>R101</f>
        <v>0</v>
      </c>
      <c r="S10" s="105"/>
      <c r="T10" s="100"/>
      <c r="U10" s="131"/>
    </row>
    <row r="11" spans="2:25" s="4" customFormat="1" x14ac:dyDescent="0.25">
      <c r="B11" s="53" t="s">
        <v>47</v>
      </c>
      <c r="C11" s="54">
        <f>C122</f>
        <v>0</v>
      </c>
      <c r="D11" s="54">
        <f t="shared" ref="D11:N11" si="4">D122</f>
        <v>0</v>
      </c>
      <c r="E11" s="54">
        <f t="shared" si="4"/>
        <v>0</v>
      </c>
      <c r="F11" s="54">
        <f t="shared" si="4"/>
        <v>0</v>
      </c>
      <c r="G11" s="54">
        <f t="shared" si="4"/>
        <v>0</v>
      </c>
      <c r="H11" s="54">
        <f t="shared" si="4"/>
        <v>0</v>
      </c>
      <c r="I11" s="54">
        <f t="shared" si="4"/>
        <v>0</v>
      </c>
      <c r="J11" s="54">
        <f t="shared" si="4"/>
        <v>0</v>
      </c>
      <c r="K11" s="54">
        <f t="shared" si="4"/>
        <v>0</v>
      </c>
      <c r="L11" s="54">
        <f t="shared" si="4"/>
        <v>0</v>
      </c>
      <c r="M11" s="54">
        <f t="shared" si="4"/>
        <v>0</v>
      </c>
      <c r="N11" s="54">
        <f t="shared" si="4"/>
        <v>0</v>
      </c>
      <c r="O11" s="54">
        <f>O122</f>
        <v>0</v>
      </c>
      <c r="P11" s="54">
        <f>P122</f>
        <v>0</v>
      </c>
      <c r="Q11" s="54">
        <f>Q122</f>
        <v>0</v>
      </c>
      <c r="R11" s="54">
        <f>R122</f>
        <v>0</v>
      </c>
      <c r="S11" s="105"/>
      <c r="T11" s="100"/>
      <c r="U11" s="142"/>
    </row>
    <row r="12" spans="2:25" s="4" customFormat="1" x14ac:dyDescent="0.25">
      <c r="B12" s="53" t="s">
        <v>48</v>
      </c>
      <c r="C12" s="54">
        <f>C143</f>
        <v>0</v>
      </c>
      <c r="D12" s="54">
        <f t="shared" ref="D12:N12" si="5">D143</f>
        <v>0</v>
      </c>
      <c r="E12" s="54">
        <f t="shared" si="5"/>
        <v>0</v>
      </c>
      <c r="F12" s="54">
        <f t="shared" si="5"/>
        <v>-32.039554950920007</v>
      </c>
      <c r="G12" s="54">
        <f t="shared" si="5"/>
        <v>-26.928535676640024</v>
      </c>
      <c r="H12" s="54">
        <f t="shared" si="5"/>
        <v>-24.003555858200016</v>
      </c>
      <c r="I12" s="54">
        <f t="shared" si="5"/>
        <v>-3.7107606395289565</v>
      </c>
      <c r="J12" s="54">
        <f t="shared" si="5"/>
        <v>-5.0451875808032014</v>
      </c>
      <c r="K12" s="54">
        <f t="shared" si="5"/>
        <v>-13.38479006118785</v>
      </c>
      <c r="L12" s="54">
        <f t="shared" si="5"/>
        <v>-11.956156239547894</v>
      </c>
      <c r="M12" s="54">
        <f t="shared" si="5"/>
        <v>-1.6800465475429505</v>
      </c>
      <c r="N12" s="54">
        <f t="shared" si="5"/>
        <v>-0.85941750899881697</v>
      </c>
      <c r="O12" s="54">
        <f>O143</f>
        <v>-2.8859213449500061</v>
      </c>
      <c r="P12" s="54">
        <f>P143</f>
        <v>-2.1710857631480067</v>
      </c>
      <c r="Q12" s="54">
        <f>Q143</f>
        <v>-0.4010019147654873</v>
      </c>
      <c r="R12" s="54">
        <f>R143</f>
        <v>0</v>
      </c>
      <c r="S12" s="105"/>
      <c r="T12" s="100"/>
      <c r="U12" s="142"/>
    </row>
    <row r="13" spans="2:25" s="4" customFormat="1" x14ac:dyDescent="0.25">
      <c r="B13" s="53" t="s">
        <v>70</v>
      </c>
      <c r="C13" s="54">
        <f>C164</f>
        <v>0</v>
      </c>
      <c r="D13" s="54">
        <f t="shared" ref="D13:N13" si="6">D164</f>
        <v>0</v>
      </c>
      <c r="E13" s="54">
        <f t="shared" si="6"/>
        <v>0</v>
      </c>
      <c r="F13" s="54">
        <f t="shared" si="6"/>
        <v>0</v>
      </c>
      <c r="G13" s="54">
        <f t="shared" si="6"/>
        <v>0</v>
      </c>
      <c r="H13" s="54">
        <f t="shared" si="6"/>
        <v>0</v>
      </c>
      <c r="I13" s="54">
        <f t="shared" si="6"/>
        <v>0</v>
      </c>
      <c r="J13" s="54">
        <f t="shared" si="6"/>
        <v>0</v>
      </c>
      <c r="K13" s="54">
        <f t="shared" si="6"/>
        <v>-9.2740371511878479</v>
      </c>
      <c r="L13" s="54">
        <f t="shared" si="6"/>
        <v>-8.5532218195478933</v>
      </c>
      <c r="M13" s="54">
        <f t="shared" si="6"/>
        <v>-1.9234315175429515</v>
      </c>
      <c r="N13" s="54">
        <f t="shared" si="6"/>
        <v>0</v>
      </c>
      <c r="O13" s="54">
        <f>O164</f>
        <v>0</v>
      </c>
      <c r="P13" s="54">
        <f>P164</f>
        <v>0</v>
      </c>
      <c r="Q13" s="54">
        <f>Q164</f>
        <v>0</v>
      </c>
      <c r="R13" s="54">
        <f>R164</f>
        <v>0</v>
      </c>
      <c r="S13" s="105"/>
      <c r="T13" s="100"/>
      <c r="U13" s="131"/>
    </row>
    <row r="14" spans="2:25" s="4" customFormat="1" ht="15.75" thickBot="1" x14ac:dyDescent="0.3">
      <c r="B14" s="55" t="s">
        <v>49</v>
      </c>
      <c r="C14" s="56">
        <f>C183</f>
        <v>0</v>
      </c>
      <c r="D14" s="56">
        <f t="shared" ref="D14:N14" si="7">D183</f>
        <v>0</v>
      </c>
      <c r="E14" s="56">
        <f t="shared" si="7"/>
        <v>0</v>
      </c>
      <c r="F14" s="56">
        <f t="shared" si="7"/>
        <v>0</v>
      </c>
      <c r="G14" s="56">
        <f t="shared" si="7"/>
        <v>0</v>
      </c>
      <c r="H14" s="56">
        <f t="shared" si="7"/>
        <v>0</v>
      </c>
      <c r="I14" s="56">
        <f t="shared" si="7"/>
        <v>0</v>
      </c>
      <c r="J14" s="56">
        <f t="shared" si="7"/>
        <v>-2.632625560534251</v>
      </c>
      <c r="K14" s="56">
        <f t="shared" si="7"/>
        <v>-27.177892192399533</v>
      </c>
      <c r="L14" s="56">
        <f t="shared" si="7"/>
        <v>-25.60715330813472</v>
      </c>
      <c r="M14" s="56">
        <f t="shared" si="7"/>
        <v>0</v>
      </c>
      <c r="N14" s="56">
        <f t="shared" si="7"/>
        <v>0</v>
      </c>
      <c r="O14" s="56">
        <f>O183</f>
        <v>0</v>
      </c>
      <c r="P14" s="56">
        <f>P183</f>
        <v>0</v>
      </c>
      <c r="Q14" s="56">
        <f>Q183</f>
        <v>0</v>
      </c>
      <c r="R14" s="56">
        <f>R183</f>
        <v>0</v>
      </c>
      <c r="S14" s="105"/>
      <c r="T14" s="101" t="s">
        <v>131</v>
      </c>
      <c r="U14" s="31"/>
      <c r="V14" s="32"/>
      <c r="W14" s="32"/>
      <c r="X14" s="146">
        <f>SUM(U44,U47,U111,U129)+3000-(U41+U105+U126)</f>
        <v>26593.732500000009</v>
      </c>
      <c r="Y14" s="11" t="s">
        <v>125</v>
      </c>
    </row>
    <row r="15" spans="2:25" ht="15.75" thickBot="1" x14ac:dyDescent="0.3">
      <c r="T15" s="145" t="s">
        <v>129</v>
      </c>
      <c r="U15" s="147"/>
      <c r="V15" s="148"/>
      <c r="W15" s="148"/>
      <c r="X15" s="149">
        <f>SUM(X14)</f>
        <v>26593.732500000009</v>
      </c>
    </row>
    <row r="16" spans="2:25" s="4" customFormat="1" ht="15.75" thickBot="1" x14ac:dyDescent="0.3">
      <c r="B16" s="75" t="s">
        <v>107</v>
      </c>
      <c r="C16" s="45">
        <v>150</v>
      </c>
      <c r="D16" s="45">
        <v>150</v>
      </c>
      <c r="E16" s="45">
        <v>150</v>
      </c>
      <c r="F16" s="45">
        <v>150</v>
      </c>
      <c r="G16" s="45">
        <v>150</v>
      </c>
      <c r="H16" s="45">
        <v>100</v>
      </c>
      <c r="I16" s="45">
        <v>65</v>
      </c>
      <c r="J16" s="45">
        <v>65</v>
      </c>
      <c r="K16" s="45">
        <v>65</v>
      </c>
      <c r="L16" s="45">
        <v>65</v>
      </c>
      <c r="M16" s="45">
        <v>65</v>
      </c>
      <c r="N16" s="45">
        <v>65</v>
      </c>
      <c r="O16" s="45">
        <v>65</v>
      </c>
      <c r="P16" s="45">
        <v>65</v>
      </c>
      <c r="Q16" s="45">
        <v>65</v>
      </c>
      <c r="R16" s="45">
        <v>65</v>
      </c>
      <c r="S16" s="27"/>
      <c r="T16" s="150" t="s">
        <v>132</v>
      </c>
      <c r="U16" s="32"/>
      <c r="V16" s="32"/>
      <c r="W16" s="32"/>
      <c r="X16" s="146">
        <f>SUM(C7:R14)*15*1.9835</f>
        <v>-5957.4732610976062</v>
      </c>
    </row>
    <row r="17" spans="2:21" s="28" customFormat="1" x14ac:dyDescent="0.25">
      <c r="B17" s="7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02"/>
      <c r="U17" s="27"/>
    </row>
    <row r="18" spans="2:21" s="4" customFormat="1" ht="15.75" thickBot="1" x14ac:dyDescent="0.3">
      <c r="B18" s="77" t="s">
        <v>50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101" t="str">
        <f>'50% Exceedance Baseline'!T18</f>
        <v>NOTES</v>
      </c>
      <c r="U18" s="131"/>
    </row>
    <row r="19" spans="2:21" s="11" customFormat="1" ht="15.75" thickBot="1" x14ac:dyDescent="0.3">
      <c r="B19" s="78" t="s">
        <v>5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121">
        <v>0</v>
      </c>
      <c r="R19" s="46">
        <v>0</v>
      </c>
      <c r="S19" s="105"/>
      <c r="T19" s="100" t="str">
        <f>'50% Exceedance Baseline'!T19</f>
        <v>Flow input above Mgt. Pt. 1</v>
      </c>
      <c r="U19" s="8"/>
    </row>
    <row r="20" spans="2:21" s="11" customFormat="1" x14ac:dyDescent="0.25">
      <c r="B20" s="79" t="s">
        <v>7</v>
      </c>
      <c r="C20" s="16">
        <f>IF(C34&gt;C33,((C34-C33)*-1),((C33-C34)))</f>
        <v>315.58645360000003</v>
      </c>
      <c r="D20" s="16">
        <f t="shared" ref="D20:E20" si="8">IF(D34&gt;D33,((D34-D33)*-1),((D33-D34)))</f>
        <v>250.7977975</v>
      </c>
      <c r="E20" s="16">
        <f t="shared" si="8"/>
        <v>234.0911236</v>
      </c>
      <c r="F20" s="16">
        <f>IF(F34&gt;F33,((F34-F33)*-1),((F33-F34)))</f>
        <v>105.40185410000001</v>
      </c>
      <c r="G20" s="16">
        <f>IF(G34&gt;G33,((G34-G33)*-1),((G33-G34)))</f>
        <v>72.051147100000009</v>
      </c>
      <c r="H20" s="16">
        <f t="shared" ref="H20:R20" si="9">IF(H34&gt;H33,((H34-H33)*-1),((H33-H34)))</f>
        <v>74.015495399999992</v>
      </c>
      <c r="I20" s="16">
        <f t="shared" si="9"/>
        <v>64.093295299999994</v>
      </c>
      <c r="J20" s="16">
        <f t="shared" si="9"/>
        <v>43.301793500000002</v>
      </c>
      <c r="K20" s="16">
        <f t="shared" si="9"/>
        <v>36.390017099999994</v>
      </c>
      <c r="L20" s="16">
        <f t="shared" si="9"/>
        <v>34.097356379999994</v>
      </c>
      <c r="M20" s="16">
        <f t="shared" si="9"/>
        <v>35.555049600000004</v>
      </c>
      <c r="N20" s="16">
        <f t="shared" si="9"/>
        <v>40.275458499999999</v>
      </c>
      <c r="O20" s="16">
        <f t="shared" si="9"/>
        <v>44.218186099999997</v>
      </c>
      <c r="P20" s="16">
        <f t="shared" si="9"/>
        <v>44.636585600000004</v>
      </c>
      <c r="Q20" s="16">
        <f t="shared" si="9"/>
        <v>49.726156500000002</v>
      </c>
      <c r="R20" s="14">
        <f t="shared" si="9"/>
        <v>64.693781599999994</v>
      </c>
      <c r="S20" s="18"/>
      <c r="T20" s="100" t="str">
        <f>'50% Exceedance Baseline'!T20</f>
        <v>Flow target surplus or deficit after input</v>
      </c>
      <c r="U20" s="8"/>
    </row>
    <row r="21" spans="2:21" s="11" customFormat="1" ht="15.75" thickBot="1" x14ac:dyDescent="0.3">
      <c r="B21" s="8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7"/>
      <c r="S21" s="18"/>
      <c r="T21" s="100"/>
      <c r="U21" s="8"/>
    </row>
    <row r="22" spans="2:21" ht="15.75" thickBot="1" x14ac:dyDescent="0.3">
      <c r="B22" s="73" t="s">
        <v>6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121">
        <v>0</v>
      </c>
      <c r="R22" s="46">
        <v>0</v>
      </c>
      <c r="S22" s="105"/>
      <c r="T22" s="100" t="str">
        <f>'50% Exceedance Baseline'!T22</f>
        <v>Flow input above Mgt. Pt. 1</v>
      </c>
    </row>
    <row r="23" spans="2:21" s="4" customFormat="1" x14ac:dyDescent="0.25">
      <c r="B23" s="79" t="s">
        <v>7</v>
      </c>
      <c r="C23" s="16">
        <f>IF(C34&gt;C33,((C34-C33)*-1),((C33-C34)))</f>
        <v>315.58645360000003</v>
      </c>
      <c r="D23" s="16">
        <f t="shared" ref="D23:R23" si="10">IF(D34&gt;D33,((D34-D33)*-1),((D33-D34)))</f>
        <v>250.7977975</v>
      </c>
      <c r="E23" s="16">
        <f t="shared" si="10"/>
        <v>234.0911236</v>
      </c>
      <c r="F23" s="16">
        <f t="shared" si="10"/>
        <v>105.40185410000001</v>
      </c>
      <c r="G23" s="16">
        <f t="shared" si="10"/>
        <v>72.051147100000009</v>
      </c>
      <c r="H23" s="16">
        <f t="shared" si="10"/>
        <v>74.015495399999992</v>
      </c>
      <c r="I23" s="16">
        <f t="shared" si="10"/>
        <v>64.093295299999994</v>
      </c>
      <c r="J23" s="16">
        <f t="shared" si="10"/>
        <v>43.301793500000002</v>
      </c>
      <c r="K23" s="16">
        <f t="shared" si="10"/>
        <v>36.390017099999994</v>
      </c>
      <c r="L23" s="16">
        <f t="shared" si="10"/>
        <v>34.097356379999994</v>
      </c>
      <c r="M23" s="16">
        <f t="shared" si="10"/>
        <v>35.555049600000004</v>
      </c>
      <c r="N23" s="16">
        <f t="shared" si="10"/>
        <v>40.275458499999999</v>
      </c>
      <c r="O23" s="16">
        <f t="shared" si="10"/>
        <v>44.218186099999997</v>
      </c>
      <c r="P23" s="16">
        <f t="shared" si="10"/>
        <v>44.636585600000004</v>
      </c>
      <c r="Q23" s="16">
        <f t="shared" si="10"/>
        <v>49.726156500000002</v>
      </c>
      <c r="R23" s="14">
        <f t="shared" si="10"/>
        <v>64.693781599999994</v>
      </c>
      <c r="S23" s="18"/>
      <c r="T23" s="100" t="str">
        <f>'50% Exceedance Baseline'!T23</f>
        <v>Flow target surplus or deficit after input</v>
      </c>
      <c r="U23" s="131"/>
    </row>
    <row r="24" spans="2:21" s="26" customFormat="1" ht="15.75" thickBot="1" x14ac:dyDescent="0.3">
      <c r="B24" s="8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7"/>
      <c r="S24" s="18"/>
      <c r="T24" s="100"/>
      <c r="U24" s="25"/>
    </row>
    <row r="25" spans="2:21" s="4" customFormat="1" ht="15.75" thickBot="1" x14ac:dyDescent="0.3">
      <c r="B25" s="73" t="s">
        <v>60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121">
        <v>0</v>
      </c>
      <c r="R25" s="46">
        <v>0</v>
      </c>
      <c r="S25" s="105"/>
      <c r="T25" s="100" t="str">
        <f>'50% Exceedance Baseline'!T25</f>
        <v>Flow input above Mgt. Pt. 1</v>
      </c>
      <c r="U25" s="131"/>
    </row>
    <row r="26" spans="2:21" s="4" customFormat="1" x14ac:dyDescent="0.25">
      <c r="B26" s="79" t="s">
        <v>7</v>
      </c>
      <c r="C26" s="16">
        <f>IF(C34&gt;C33,((C34-C33)*-1),((C33-C34)))</f>
        <v>315.58645360000003</v>
      </c>
      <c r="D26" s="16">
        <f t="shared" ref="D26:R26" si="11">IF(D34&gt;D33,((D34-D33)*-1),((D33-D34)))</f>
        <v>250.7977975</v>
      </c>
      <c r="E26" s="16">
        <f t="shared" si="11"/>
        <v>234.0911236</v>
      </c>
      <c r="F26" s="16">
        <f t="shared" si="11"/>
        <v>105.40185410000001</v>
      </c>
      <c r="G26" s="16">
        <f t="shared" si="11"/>
        <v>72.051147100000009</v>
      </c>
      <c r="H26" s="16">
        <f t="shared" si="11"/>
        <v>74.015495399999992</v>
      </c>
      <c r="I26" s="16">
        <f t="shared" si="11"/>
        <v>64.093295299999994</v>
      </c>
      <c r="J26" s="16">
        <f t="shared" si="11"/>
        <v>43.301793500000002</v>
      </c>
      <c r="K26" s="16">
        <f t="shared" si="11"/>
        <v>36.390017099999994</v>
      </c>
      <c r="L26" s="16">
        <f t="shared" si="11"/>
        <v>34.097356379999994</v>
      </c>
      <c r="M26" s="16">
        <f t="shared" si="11"/>
        <v>35.555049600000004</v>
      </c>
      <c r="N26" s="16">
        <f t="shared" si="11"/>
        <v>40.275458499999999</v>
      </c>
      <c r="O26" s="16">
        <f t="shared" si="11"/>
        <v>44.218186099999997</v>
      </c>
      <c r="P26" s="16">
        <f t="shared" si="11"/>
        <v>44.636585600000004</v>
      </c>
      <c r="Q26" s="16">
        <f t="shared" si="11"/>
        <v>49.726156500000002</v>
      </c>
      <c r="R26" s="14">
        <f t="shared" si="11"/>
        <v>64.693781599999994</v>
      </c>
      <c r="S26" s="18"/>
      <c r="T26" s="100" t="str">
        <f>'50% Exceedance Baseline'!T26</f>
        <v>Flow target surplus or deficit after input</v>
      </c>
      <c r="U26" s="131"/>
    </row>
    <row r="27" spans="2:21" s="4" customFormat="1" x14ac:dyDescent="0.25">
      <c r="B27" s="81" t="s">
        <v>19</v>
      </c>
      <c r="C27" s="18">
        <f t="shared" ref="C27:F27" si="12">SUM(C19+C22+C25)</f>
        <v>0</v>
      </c>
      <c r="D27" s="18">
        <f t="shared" si="12"/>
        <v>0</v>
      </c>
      <c r="E27" s="18">
        <f t="shared" si="12"/>
        <v>0</v>
      </c>
      <c r="F27" s="18">
        <f t="shared" si="12"/>
        <v>0</v>
      </c>
      <c r="G27" s="18">
        <f>SUM(G19+G22+G25)</f>
        <v>0</v>
      </c>
      <c r="H27" s="18">
        <f t="shared" ref="H27:N27" si="13">SUM(H19+H22+H25)</f>
        <v>0</v>
      </c>
      <c r="I27" s="18">
        <f t="shared" si="13"/>
        <v>0</v>
      </c>
      <c r="J27" s="18">
        <f t="shared" si="13"/>
        <v>0</v>
      </c>
      <c r="K27" s="18">
        <f t="shared" si="13"/>
        <v>0</v>
      </c>
      <c r="L27" s="18">
        <f t="shared" si="13"/>
        <v>0</v>
      </c>
      <c r="M27" s="18">
        <f t="shared" si="13"/>
        <v>0</v>
      </c>
      <c r="N27" s="18">
        <f t="shared" si="13"/>
        <v>0</v>
      </c>
      <c r="O27" s="18">
        <f>SUM(O19+O22+O25)</f>
        <v>0</v>
      </c>
      <c r="P27" s="18">
        <f>SUM(P19+P22+P25)</f>
        <v>0</v>
      </c>
      <c r="Q27" s="18">
        <f>SUM(Q19+Q22+Q25)</f>
        <v>0</v>
      </c>
      <c r="R27" s="17">
        <f>SUM(R19+R22+R25)</f>
        <v>0</v>
      </c>
      <c r="S27" s="18"/>
      <c r="T27" s="100" t="str">
        <f>'50% Exceedance Baseline'!T27</f>
        <v>Subtotal of all inputs in reach above Milton-Freewater</v>
      </c>
      <c r="U27" s="131"/>
    </row>
    <row r="28" spans="2:21" s="4" customFormat="1" ht="15.75" thickBot="1" x14ac:dyDescent="0.3">
      <c r="B28" s="8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7"/>
      <c r="S28" s="18"/>
      <c r="T28" s="100"/>
      <c r="U28" s="131"/>
    </row>
    <row r="29" spans="2:21" s="64" customFormat="1" ht="15.75" thickBot="1" x14ac:dyDescent="0.3">
      <c r="B29" s="70" t="s">
        <v>28</v>
      </c>
      <c r="C29" s="82">
        <f>'50% Exceedance Baseline'!C29</f>
        <v>0.113</v>
      </c>
      <c r="D29" s="82">
        <f>'50% Exceedance Baseline'!D29</f>
        <v>0.113</v>
      </c>
      <c r="E29" s="82">
        <f>'50% Exceedance Baseline'!E29</f>
        <v>0.113</v>
      </c>
      <c r="F29" s="82">
        <f>'50% Exceedance Baseline'!F29</f>
        <v>0.113</v>
      </c>
      <c r="G29" s="82">
        <f>'50% Exceedance Baseline'!G29</f>
        <v>0.113</v>
      </c>
      <c r="H29" s="82">
        <f>'50% Exceedance Baseline'!H29</f>
        <v>0.113</v>
      </c>
      <c r="I29" s="82">
        <f>'50% Exceedance Baseline'!I29</f>
        <v>8.6999999999999994E-2</v>
      </c>
      <c r="J29" s="82">
        <f>'50% Exceedance Baseline'!J29</f>
        <v>8.6999999999999994E-2</v>
      </c>
      <c r="K29" s="82">
        <f>'50% Exceedance Baseline'!K29</f>
        <v>0.20699999999999999</v>
      </c>
      <c r="L29" s="82">
        <f>'50% Exceedance Baseline'!L29</f>
        <v>0.20699999999999999</v>
      </c>
      <c r="M29" s="82">
        <f>'50% Exceedance Baseline'!M29</f>
        <v>0.12</v>
      </c>
      <c r="N29" s="82">
        <f>'50% Exceedance Baseline'!N29</f>
        <v>0.12</v>
      </c>
      <c r="O29" s="82">
        <f>'50% Exceedance Baseline'!O29</f>
        <v>0.26700000000000002</v>
      </c>
      <c r="P29" s="82">
        <f>'50% Exceedance Baseline'!P29</f>
        <v>0.26700000000000002</v>
      </c>
      <c r="Q29" s="69">
        <f>'50% Exceedance Baseline'!Q29</f>
        <v>-0.14099999999999999</v>
      </c>
      <c r="R29" s="69">
        <f>'50% Exceedance Baseline'!R29</f>
        <v>-0.14099999999999999</v>
      </c>
      <c r="S29" s="106"/>
      <c r="T29" s="100" t="str">
        <f>'50% Exceedance Baseline'!T29</f>
        <v>Percentage total inputs lost or gained due to streambed hydrology (2002-2015 WWBWC seepage data)</v>
      </c>
      <c r="U29" s="83"/>
    </row>
    <row r="30" spans="2:21" s="4" customFormat="1" x14ac:dyDescent="0.25">
      <c r="B30" s="84" t="s">
        <v>20</v>
      </c>
      <c r="C30" s="57">
        <f>SUM(C27)*(1+C29)</f>
        <v>0</v>
      </c>
      <c r="D30" s="57">
        <f t="shared" ref="D30:N30" si="14">SUM(D27)*(1+D29)</f>
        <v>0</v>
      </c>
      <c r="E30" s="57">
        <f t="shared" si="14"/>
        <v>0</v>
      </c>
      <c r="F30" s="57">
        <f t="shared" si="14"/>
        <v>0</v>
      </c>
      <c r="G30" s="57">
        <f t="shared" si="14"/>
        <v>0</v>
      </c>
      <c r="H30" s="57">
        <f t="shared" si="14"/>
        <v>0</v>
      </c>
      <c r="I30" s="57">
        <f t="shared" si="14"/>
        <v>0</v>
      </c>
      <c r="J30" s="57">
        <f t="shared" si="14"/>
        <v>0</v>
      </c>
      <c r="K30" s="57">
        <f t="shared" si="14"/>
        <v>0</v>
      </c>
      <c r="L30" s="57">
        <f t="shared" si="14"/>
        <v>0</v>
      </c>
      <c r="M30" s="57">
        <f t="shared" si="14"/>
        <v>0</v>
      </c>
      <c r="N30" s="57">
        <f t="shared" si="14"/>
        <v>0</v>
      </c>
      <c r="O30" s="57">
        <f>SUM(O27)*(1+O29)</f>
        <v>0</v>
      </c>
      <c r="P30" s="57">
        <f>SUM(P27)*(1+P29)</f>
        <v>0</v>
      </c>
      <c r="Q30" s="57">
        <f>SUM(Q27)*(1+Q29)</f>
        <v>0</v>
      </c>
      <c r="R30" s="58">
        <f>SUM(R27)*(1+R29)</f>
        <v>0</v>
      </c>
      <c r="S30" s="110"/>
      <c r="T30" s="100" t="str">
        <f>'50% Exceedance Baseline'!T30</f>
        <v>Total of all upstream input flow adjusted for streambed loss or gain</v>
      </c>
      <c r="U30" s="131"/>
    </row>
    <row r="31" spans="2:21" s="4" customFormat="1" ht="15.75" thickBot="1" x14ac:dyDescent="0.3">
      <c r="B31" s="7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110"/>
      <c r="T31" s="100"/>
      <c r="U31" s="131"/>
    </row>
    <row r="32" spans="2:21" ht="15.75" thickBot="1" x14ac:dyDescent="0.3">
      <c r="B32" s="24" t="s">
        <v>52</v>
      </c>
      <c r="C32" s="123">
        <f>'50% Exceedance Baseline'!C32</f>
        <v>465.58645360000003</v>
      </c>
      <c r="D32" s="123">
        <f>'50% Exceedance Baseline'!D32</f>
        <v>400.7977975</v>
      </c>
      <c r="E32" s="123">
        <f>'50% Exceedance Baseline'!E32</f>
        <v>384.0911236</v>
      </c>
      <c r="F32" s="123">
        <f>'50% Exceedance Baseline'!F32</f>
        <v>255.40185410000001</v>
      </c>
      <c r="G32" s="123">
        <f>'50% Exceedance Baseline'!G32</f>
        <v>222.05114710000001</v>
      </c>
      <c r="H32" s="123">
        <f>'50% Exceedance Baseline'!H32</f>
        <v>174.01549539999999</v>
      </c>
      <c r="I32" s="123">
        <f>'50% Exceedance Baseline'!I32</f>
        <v>129.09329529999999</v>
      </c>
      <c r="J32" s="123">
        <f>'50% Exceedance Baseline'!J32</f>
        <v>108.3017935</v>
      </c>
      <c r="K32" s="123">
        <f>'50% Exceedance Baseline'!K32</f>
        <v>101.39001709999999</v>
      </c>
      <c r="L32" s="123">
        <f>'50% Exceedance Baseline'!L32</f>
        <v>99.097356379999994</v>
      </c>
      <c r="M32" s="123">
        <f>'50% Exceedance Baseline'!M32</f>
        <v>100.5550496</v>
      </c>
      <c r="N32" s="123">
        <f>'50% Exceedance Baseline'!N32</f>
        <v>105.2754585</v>
      </c>
      <c r="O32" s="123">
        <f>'50% Exceedance Baseline'!O32</f>
        <v>109.2181861</v>
      </c>
      <c r="P32" s="123">
        <f>'50% Exceedance Baseline'!P32</f>
        <v>109.6365856</v>
      </c>
      <c r="Q32" s="123">
        <f>'50% Exceedance Baseline'!Q32</f>
        <v>114.7261565</v>
      </c>
      <c r="R32" s="123">
        <f>'50% Exceedance Baseline'!R32</f>
        <v>129.69378159999999</v>
      </c>
      <c r="S32" s="27"/>
      <c r="T32" s="100" t="str">
        <f>'50% Exceedance Baseline'!T32</f>
        <v>Median flow data at S-105 gage (2002-2016)</v>
      </c>
    </row>
    <row r="33" spans="2:26" x14ac:dyDescent="0.25">
      <c r="B33" s="47" t="s">
        <v>36</v>
      </c>
      <c r="C33" s="48">
        <f>C32+C30</f>
        <v>465.58645360000003</v>
      </c>
      <c r="D33" s="48">
        <f t="shared" ref="D33:N33" si="15">D32+D30</f>
        <v>400.7977975</v>
      </c>
      <c r="E33" s="48">
        <f t="shared" si="15"/>
        <v>384.0911236</v>
      </c>
      <c r="F33" s="48">
        <f t="shared" si="15"/>
        <v>255.40185410000001</v>
      </c>
      <c r="G33" s="48">
        <f t="shared" si="15"/>
        <v>222.05114710000001</v>
      </c>
      <c r="H33" s="48">
        <f t="shared" si="15"/>
        <v>174.01549539999999</v>
      </c>
      <c r="I33" s="48">
        <f t="shared" si="15"/>
        <v>129.09329529999999</v>
      </c>
      <c r="J33" s="48">
        <f t="shared" si="15"/>
        <v>108.3017935</v>
      </c>
      <c r="K33" s="48">
        <f t="shared" si="15"/>
        <v>101.39001709999999</v>
      </c>
      <c r="L33" s="48">
        <f t="shared" si="15"/>
        <v>99.097356379999994</v>
      </c>
      <c r="M33" s="48">
        <f t="shared" si="15"/>
        <v>100.5550496</v>
      </c>
      <c r="N33" s="48">
        <f t="shared" si="15"/>
        <v>105.2754585</v>
      </c>
      <c r="O33" s="48">
        <f>O32+O30</f>
        <v>109.2181861</v>
      </c>
      <c r="P33" s="48">
        <f>P32+P30</f>
        <v>109.6365856</v>
      </c>
      <c r="Q33" s="48">
        <f>Q32+Q30</f>
        <v>114.7261565</v>
      </c>
      <c r="R33" s="49">
        <f>R32+R30</f>
        <v>129.69378159999999</v>
      </c>
      <c r="S33" s="111"/>
      <c r="T33" s="100" t="str">
        <f>'50% Exceedance Baseline'!T33</f>
        <v>Flow gage data plus cumulative inputs adjusted for streambed loss or gain</v>
      </c>
    </row>
    <row r="34" spans="2:26" s="4" customFormat="1" x14ac:dyDescent="0.25">
      <c r="B34" s="10" t="s">
        <v>8</v>
      </c>
      <c r="C34" s="8">
        <f>$C$16</f>
        <v>150</v>
      </c>
      <c r="D34" s="8">
        <f>$D$16</f>
        <v>150</v>
      </c>
      <c r="E34" s="8">
        <f>$E$16</f>
        <v>150</v>
      </c>
      <c r="F34" s="8">
        <f>$F$16</f>
        <v>150</v>
      </c>
      <c r="G34" s="8">
        <f>$G$16</f>
        <v>150</v>
      </c>
      <c r="H34" s="8">
        <f>$H$16</f>
        <v>100</v>
      </c>
      <c r="I34" s="8">
        <f>$I$16</f>
        <v>65</v>
      </c>
      <c r="J34" s="8">
        <f>$J$16</f>
        <v>65</v>
      </c>
      <c r="K34" s="8">
        <f>$K$16</f>
        <v>65</v>
      </c>
      <c r="L34" s="8">
        <f>$L$16</f>
        <v>65</v>
      </c>
      <c r="M34" s="8">
        <f>$M$16</f>
        <v>65</v>
      </c>
      <c r="N34" s="8">
        <f>$N$16</f>
        <v>65</v>
      </c>
      <c r="O34" s="8">
        <f>$O$16</f>
        <v>65</v>
      </c>
      <c r="P34" s="8">
        <f>$P$16</f>
        <v>65</v>
      </c>
      <c r="Q34" s="8">
        <f>$Q$16</f>
        <v>65</v>
      </c>
      <c r="R34" s="9">
        <f>$R$16</f>
        <v>65</v>
      </c>
      <c r="S34" s="112"/>
      <c r="T34" s="100" t="str">
        <f>'50% Exceedance Baseline'!T34</f>
        <v>Target flows</v>
      </c>
      <c r="U34" s="131"/>
    </row>
    <row r="35" spans="2:26" s="4" customFormat="1" ht="15.75" thickBot="1" x14ac:dyDescent="0.3">
      <c r="B35" s="37" t="s">
        <v>9</v>
      </c>
      <c r="C35" s="38">
        <f>IF(C33&gt;C34,0,(C34-C33)*-1)</f>
        <v>0</v>
      </c>
      <c r="D35" s="38">
        <f t="shared" ref="D35:N35" si="16">IF(D33&gt;D34,0,(D34-D33)*-1)</f>
        <v>0</v>
      </c>
      <c r="E35" s="38">
        <f t="shared" si="16"/>
        <v>0</v>
      </c>
      <c r="F35" s="38">
        <f t="shared" si="16"/>
        <v>0</v>
      </c>
      <c r="G35" s="38">
        <f t="shared" si="16"/>
        <v>0</v>
      </c>
      <c r="H35" s="38">
        <f t="shared" si="16"/>
        <v>0</v>
      </c>
      <c r="I35" s="38">
        <f t="shared" si="16"/>
        <v>0</v>
      </c>
      <c r="J35" s="38">
        <f t="shared" si="16"/>
        <v>0</v>
      </c>
      <c r="K35" s="38">
        <f t="shared" si="16"/>
        <v>0</v>
      </c>
      <c r="L35" s="38">
        <f t="shared" si="16"/>
        <v>0</v>
      </c>
      <c r="M35" s="38">
        <f t="shared" si="16"/>
        <v>0</v>
      </c>
      <c r="N35" s="38">
        <f t="shared" si="16"/>
        <v>0</v>
      </c>
      <c r="O35" s="38">
        <f>IF(O33&gt;O34,0,(O34-O33)*-1)</f>
        <v>0</v>
      </c>
      <c r="P35" s="38">
        <f>IF(P33&gt;P34,0,(P34-P33)*-1)</f>
        <v>0</v>
      </c>
      <c r="Q35" s="38">
        <f>IF(Q33&gt;Q34,0,(Q34-Q33)*-1)</f>
        <v>0</v>
      </c>
      <c r="R35" s="39">
        <f>IF(R33&gt;R34,0,(R34-R33)*-1)</f>
        <v>0</v>
      </c>
      <c r="S35" s="105"/>
      <c r="T35" s="100" t="str">
        <f>'50% Exceedance Baseline'!T35</f>
        <v>Deficit between target flows and flow gage data plus total adjusted inputs</v>
      </c>
      <c r="U35" s="131"/>
    </row>
    <row r="36" spans="2:26" s="4" customFormat="1" x14ac:dyDescent="0.25">
      <c r="B36" s="3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18"/>
      <c r="T36" s="100"/>
      <c r="U36" s="131"/>
    </row>
    <row r="37" spans="2:26" s="4" customFormat="1" x14ac:dyDescent="0.25">
      <c r="B37" s="85" t="s">
        <v>1</v>
      </c>
      <c r="C37" s="8">
        <f>'50% Exceedance Baseline'!C37</f>
        <v>87</v>
      </c>
      <c r="D37" s="8">
        <f>'50% Exceedance Baseline'!D37</f>
        <v>92</v>
      </c>
      <c r="E37" s="8">
        <f>'50% Exceedance Baseline'!E37</f>
        <v>97</v>
      </c>
      <c r="F37" s="8">
        <f>'50% Exceedance Baseline'!F37</f>
        <v>101</v>
      </c>
      <c r="G37" s="8">
        <f>'50% Exceedance Baseline'!G37</f>
        <v>103</v>
      </c>
      <c r="H37" s="8">
        <f>'50% Exceedance Baseline'!H37</f>
        <v>100</v>
      </c>
      <c r="I37" s="8">
        <f>'50% Exceedance Baseline'!I37</f>
        <v>85</v>
      </c>
      <c r="J37" s="8">
        <f>'50% Exceedance Baseline'!J37</f>
        <v>68</v>
      </c>
      <c r="K37" s="8">
        <f>'50% Exceedance Baseline'!K37</f>
        <v>59</v>
      </c>
      <c r="L37" s="8">
        <f>'50% Exceedance Baseline'!L37</f>
        <v>60</v>
      </c>
      <c r="M37" s="8">
        <f>'50% Exceedance Baseline'!M37</f>
        <v>62</v>
      </c>
      <c r="N37" s="8">
        <f>'50% Exceedance Baseline'!N37</f>
        <v>64</v>
      </c>
      <c r="O37" s="8">
        <f>'50% Exceedance Baseline'!O37</f>
        <v>69</v>
      </c>
      <c r="P37" s="8">
        <f>'50% Exceedance Baseline'!P37</f>
        <v>70</v>
      </c>
      <c r="Q37" s="8">
        <f>'50% Exceedance Baseline'!Q37</f>
        <v>60</v>
      </c>
      <c r="R37" s="8">
        <f>'50% Exceedance Baseline'!R37</f>
        <v>60</v>
      </c>
      <c r="S37" s="112"/>
      <c r="T37" s="100"/>
      <c r="U37" s="131"/>
    </row>
    <row r="38" spans="2:26" s="4" customFormat="1" x14ac:dyDescent="0.25">
      <c r="B38" s="85" t="s">
        <v>0</v>
      </c>
      <c r="C38" s="8">
        <f>'50% Exceedance Baseline'!C38</f>
        <v>5</v>
      </c>
      <c r="D38" s="8">
        <f>'50% Exceedance Baseline'!D38</f>
        <v>5</v>
      </c>
      <c r="E38" s="8">
        <f>'50% Exceedance Baseline'!E38</f>
        <v>5</v>
      </c>
      <c r="F38" s="8">
        <f>'50% Exceedance Baseline'!F38</f>
        <v>5</v>
      </c>
      <c r="G38" s="8">
        <f>'50% Exceedance Baseline'!G38</f>
        <v>5</v>
      </c>
      <c r="H38" s="8">
        <f>'50% Exceedance Baseline'!H38</f>
        <v>5</v>
      </c>
      <c r="I38" s="8">
        <f>'50% Exceedance Baseline'!I38</f>
        <v>5</v>
      </c>
      <c r="J38" s="8">
        <f>'50% Exceedance Baseline'!J38</f>
        <v>5</v>
      </c>
      <c r="K38" s="8">
        <f>'50% Exceedance Baseline'!K38</f>
        <v>5</v>
      </c>
      <c r="L38" s="8">
        <f>'50% Exceedance Baseline'!L38</f>
        <v>5</v>
      </c>
      <c r="M38" s="8">
        <f>'50% Exceedance Baseline'!M38</f>
        <v>5</v>
      </c>
      <c r="N38" s="8">
        <f>'50% Exceedance Baseline'!N38</f>
        <v>5</v>
      </c>
      <c r="O38" s="8">
        <f>'50% Exceedance Baseline'!O38</f>
        <v>5</v>
      </c>
      <c r="P38" s="8">
        <f>'50% Exceedance Baseline'!P38</f>
        <v>5</v>
      </c>
      <c r="Q38" s="8">
        <f>'50% Exceedance Baseline'!Q38</f>
        <v>0</v>
      </c>
      <c r="R38" s="8">
        <f>'50% Exceedance Baseline'!R38</f>
        <v>0</v>
      </c>
      <c r="S38" s="112"/>
      <c r="T38" s="100"/>
      <c r="U38" s="131"/>
    </row>
    <row r="39" spans="2:26" s="4" customFormat="1" x14ac:dyDescent="0.25">
      <c r="B39" s="86" t="s">
        <v>4</v>
      </c>
      <c r="C39" s="8">
        <f t="shared" ref="C39:R39" si="17">C37+C38</f>
        <v>92</v>
      </c>
      <c r="D39" s="8">
        <f t="shared" si="17"/>
        <v>97</v>
      </c>
      <c r="E39" s="8">
        <f t="shared" si="17"/>
        <v>102</v>
      </c>
      <c r="F39" s="8">
        <f t="shared" si="17"/>
        <v>106</v>
      </c>
      <c r="G39" s="8">
        <f t="shared" si="17"/>
        <v>108</v>
      </c>
      <c r="H39" s="8">
        <f t="shared" si="17"/>
        <v>105</v>
      </c>
      <c r="I39" s="8">
        <f t="shared" si="17"/>
        <v>90</v>
      </c>
      <c r="J39" s="8">
        <f t="shared" si="17"/>
        <v>73</v>
      </c>
      <c r="K39" s="8">
        <f t="shared" si="17"/>
        <v>64</v>
      </c>
      <c r="L39" s="8">
        <f t="shared" si="17"/>
        <v>65</v>
      </c>
      <c r="M39" s="8">
        <f t="shared" si="17"/>
        <v>67</v>
      </c>
      <c r="N39" s="8">
        <f t="shared" si="17"/>
        <v>69</v>
      </c>
      <c r="O39" s="8">
        <f t="shared" si="17"/>
        <v>74</v>
      </c>
      <c r="P39" s="8">
        <f t="shared" si="17"/>
        <v>75</v>
      </c>
      <c r="Q39" s="8">
        <f t="shared" si="17"/>
        <v>60</v>
      </c>
      <c r="R39" s="8">
        <f t="shared" si="17"/>
        <v>60</v>
      </c>
      <c r="S39" s="112"/>
      <c r="T39" s="100"/>
      <c r="U39" s="131"/>
    </row>
    <row r="40" spans="2:26" s="4" customFormat="1" x14ac:dyDescent="0.25">
      <c r="B40" s="86" t="s">
        <v>133</v>
      </c>
      <c r="C40" s="152">
        <f>C32-C34</f>
        <v>315.58645360000003</v>
      </c>
      <c r="D40" s="152">
        <f t="shared" ref="D40:R40" si="18">D32-D34</f>
        <v>250.7977975</v>
      </c>
      <c r="E40" s="152">
        <f t="shared" si="18"/>
        <v>234.0911236</v>
      </c>
      <c r="F40" s="152">
        <f t="shared" si="18"/>
        <v>105.40185410000001</v>
      </c>
      <c r="G40" s="152">
        <f>G32-G34</f>
        <v>72.051147100000009</v>
      </c>
      <c r="H40" s="152">
        <f t="shared" si="18"/>
        <v>74.015495399999992</v>
      </c>
      <c r="I40" s="152">
        <f t="shared" si="18"/>
        <v>64.093295299999994</v>
      </c>
      <c r="J40" s="152">
        <f t="shared" si="18"/>
        <v>43.301793500000002</v>
      </c>
      <c r="K40" s="152">
        <f t="shared" si="18"/>
        <v>36.390017099999994</v>
      </c>
      <c r="L40" s="152">
        <f t="shared" si="18"/>
        <v>34.097356379999994</v>
      </c>
      <c r="M40" s="152">
        <f t="shared" si="18"/>
        <v>35.555049600000004</v>
      </c>
      <c r="N40" s="152">
        <f t="shared" si="18"/>
        <v>40.275458499999999</v>
      </c>
      <c r="O40" s="152">
        <f t="shared" si="18"/>
        <v>44.218186099999997</v>
      </c>
      <c r="P40" s="152">
        <f t="shared" si="18"/>
        <v>44.636585600000004</v>
      </c>
      <c r="Q40" s="152">
        <f t="shared" si="18"/>
        <v>49.726156500000002</v>
      </c>
      <c r="R40" s="152">
        <f t="shared" si="18"/>
        <v>64.693781599999994</v>
      </c>
      <c r="S40" s="112"/>
      <c r="T40" s="100"/>
      <c r="U40" s="131"/>
    </row>
    <row r="41" spans="2:26" ht="15.75" thickBot="1" x14ac:dyDescent="0.3">
      <c r="B41" s="59" t="s">
        <v>64</v>
      </c>
      <c r="C41" s="3">
        <f>IF(C42&gt;0,10,0)</f>
        <v>0</v>
      </c>
      <c r="D41" s="3">
        <f t="shared" ref="D41:J41" si="19">IF(D42&gt;0,10,0)</f>
        <v>0</v>
      </c>
      <c r="E41" s="3">
        <f t="shared" si="19"/>
        <v>0</v>
      </c>
      <c r="F41" s="3">
        <f t="shared" si="19"/>
        <v>10</v>
      </c>
      <c r="G41" s="3">
        <f t="shared" si="19"/>
        <v>10</v>
      </c>
      <c r="H41" s="3">
        <f t="shared" si="19"/>
        <v>10</v>
      </c>
      <c r="I41" s="3">
        <f t="shared" si="19"/>
        <v>10</v>
      </c>
      <c r="J41" s="3">
        <f t="shared" si="19"/>
        <v>10</v>
      </c>
      <c r="K41" s="3">
        <f>IF(K42&gt;0,7,0)</f>
        <v>7</v>
      </c>
      <c r="L41" s="3">
        <f t="shared" ref="L41:R41" si="20">IF(L42&gt;0,7,0)</f>
        <v>7</v>
      </c>
      <c r="M41" s="3">
        <f t="shared" si="20"/>
        <v>7</v>
      </c>
      <c r="N41" s="3">
        <f t="shared" si="20"/>
        <v>7</v>
      </c>
      <c r="O41" s="3">
        <f t="shared" si="20"/>
        <v>7</v>
      </c>
      <c r="P41" s="3">
        <f t="shared" si="20"/>
        <v>7</v>
      </c>
      <c r="Q41" s="3">
        <f t="shared" si="20"/>
        <v>7</v>
      </c>
      <c r="R41" s="3">
        <f t="shared" si="20"/>
        <v>7</v>
      </c>
      <c r="T41" s="101" t="s">
        <v>118</v>
      </c>
      <c r="U41" s="139">
        <f>SUM(C41:R41)*15*1.9835</f>
        <v>3153.7649999999999</v>
      </c>
      <c r="V41" s="11" t="s">
        <v>123</v>
      </c>
      <c r="W41" s="11"/>
      <c r="X41" s="11"/>
      <c r="Y41" s="11"/>
    </row>
    <row r="42" spans="2:26" s="30" customFormat="1" ht="15.75" thickBot="1" x14ac:dyDescent="0.3">
      <c r="B42" s="72" t="s">
        <v>112</v>
      </c>
      <c r="C42" s="46">
        <v>0</v>
      </c>
      <c r="D42" s="46">
        <v>0</v>
      </c>
      <c r="E42" s="46">
        <v>0</v>
      </c>
      <c r="F42" s="46">
        <v>41</v>
      </c>
      <c r="G42" s="46">
        <v>108</v>
      </c>
      <c r="H42" s="46">
        <v>85</v>
      </c>
      <c r="I42" s="46">
        <v>71</v>
      </c>
      <c r="J42" s="46">
        <v>70</v>
      </c>
      <c r="K42" s="46">
        <v>64</v>
      </c>
      <c r="L42" s="46">
        <v>65</v>
      </c>
      <c r="M42" s="46">
        <v>67</v>
      </c>
      <c r="N42" s="46">
        <v>68</v>
      </c>
      <c r="O42" s="46">
        <v>50</v>
      </c>
      <c r="P42" s="46">
        <v>52</v>
      </c>
      <c r="Q42" s="46">
        <v>38</v>
      </c>
      <c r="R42" s="46">
        <v>27</v>
      </c>
      <c r="S42" s="105"/>
      <c r="T42" s="100" t="str">
        <f>'50% Exceedance Baseline'!T42</f>
        <v>Flow input between Mgt. Pt. 1 and Mgt. Pt. 2</v>
      </c>
      <c r="U42" s="29"/>
    </row>
    <row r="43" spans="2:26" s="128" customFormat="1" x14ac:dyDescent="0.25">
      <c r="B43" s="79" t="s">
        <v>7</v>
      </c>
      <c r="C43" s="16">
        <f>IF(C57&gt;C56,((C57-C56)*-1),((C56-C57)))</f>
        <v>129.75</v>
      </c>
      <c r="D43" s="16">
        <f t="shared" ref="D43:E43" si="21">IF(D57&gt;D56,((D57-D56)*-1),((D56-D57)))</f>
        <v>77.25</v>
      </c>
      <c r="E43" s="16">
        <f t="shared" si="21"/>
        <v>61.5</v>
      </c>
      <c r="F43" s="16">
        <f>IF(F57&gt;F56,((F57-F56)*-1),((F56-F57)))</f>
        <v>0.28999999999999204</v>
      </c>
      <c r="G43" s="16">
        <f>IF(G57&gt;G56,((G57-G56)*-1),((G56-G57)))</f>
        <v>0.87342547000000081</v>
      </c>
      <c r="H43" s="16">
        <f t="shared" ref="H43:R43" si="22">IF(H57&gt;H56,((H57-H56)*-1),((H56-H57)))</f>
        <v>16.414954629999983</v>
      </c>
      <c r="I43" s="16">
        <f t="shared" si="22"/>
        <v>27.687835520000007</v>
      </c>
      <c r="J43" s="16">
        <f t="shared" si="22"/>
        <v>27.062286459999996</v>
      </c>
      <c r="K43" s="16">
        <f t="shared" si="22"/>
        <v>31.221497110000001</v>
      </c>
      <c r="L43" s="16">
        <f t="shared" si="22"/>
        <v>32.611113110000005</v>
      </c>
      <c r="M43" s="16">
        <f t="shared" si="22"/>
        <v>25.962395839999999</v>
      </c>
      <c r="N43" s="16">
        <f t="shared" si="22"/>
        <v>24.584833339999989</v>
      </c>
      <c r="O43" s="16">
        <f t="shared" si="22"/>
        <v>18.97338542</v>
      </c>
      <c r="P43" s="16">
        <f t="shared" si="22"/>
        <v>25.380871490000004</v>
      </c>
      <c r="Q43" s="16">
        <f t="shared" si="22"/>
        <v>20.230371560000009</v>
      </c>
      <c r="R43" s="14">
        <f t="shared" si="22"/>
        <v>27.957124999999991</v>
      </c>
      <c r="S43" s="18"/>
      <c r="T43" s="100" t="str">
        <f>'50% Exceedance Baseline'!T43</f>
        <v>Flow target surplus or deficit after input</v>
      </c>
      <c r="U43" s="127"/>
      <c r="Z43" s="129"/>
    </row>
    <row r="44" spans="2:26" s="5" customFormat="1" ht="15.75" thickBot="1" x14ac:dyDescent="0.3">
      <c r="B44" s="135" t="s">
        <v>115</v>
      </c>
      <c r="C44" s="136">
        <f t="shared" ref="C44:R44" si="23">C42*15*1.9835</f>
        <v>0</v>
      </c>
      <c r="D44" s="136">
        <f t="shared" si="23"/>
        <v>0</v>
      </c>
      <c r="E44" s="136">
        <f t="shared" si="23"/>
        <v>0</v>
      </c>
      <c r="F44" s="136">
        <f>F42*15*1.9835</f>
        <v>1219.8525</v>
      </c>
      <c r="G44" s="136">
        <f>G42*15*1.9835</f>
        <v>3213.27</v>
      </c>
      <c r="H44" s="136">
        <f t="shared" si="23"/>
        <v>2528.9625000000001</v>
      </c>
      <c r="I44" s="136">
        <f t="shared" si="23"/>
        <v>2112.4275000000002</v>
      </c>
      <c r="J44" s="136">
        <f t="shared" si="23"/>
        <v>2082.6750000000002</v>
      </c>
      <c r="K44" s="136">
        <f t="shared" si="23"/>
        <v>1904.16</v>
      </c>
      <c r="L44" s="136">
        <f t="shared" si="23"/>
        <v>1933.9125000000001</v>
      </c>
      <c r="M44" s="136">
        <f t="shared" si="23"/>
        <v>1993.4175</v>
      </c>
      <c r="N44" s="136">
        <f t="shared" si="23"/>
        <v>2023.17</v>
      </c>
      <c r="O44" s="136">
        <f t="shared" si="23"/>
        <v>1487.625</v>
      </c>
      <c r="P44" s="136">
        <f t="shared" si="23"/>
        <v>1547.13</v>
      </c>
      <c r="Q44" s="136">
        <f t="shared" si="23"/>
        <v>1130.595</v>
      </c>
      <c r="R44" s="137">
        <f t="shared" si="23"/>
        <v>803.3175</v>
      </c>
      <c r="S44" s="18"/>
      <c r="T44" s="101" t="s">
        <v>118</v>
      </c>
      <c r="U44" s="139">
        <f>SUM(C44:R44)</f>
        <v>23980.515000000007</v>
      </c>
    </row>
    <row r="45" spans="2:26" ht="15.75" thickBot="1" x14ac:dyDescent="0.3">
      <c r="B45" s="73" t="s">
        <v>126</v>
      </c>
      <c r="C45" s="46">
        <v>0</v>
      </c>
      <c r="D45" s="46">
        <v>0</v>
      </c>
      <c r="E45" s="46">
        <v>0</v>
      </c>
      <c r="F45" s="46">
        <v>0</v>
      </c>
      <c r="G45" s="46">
        <v>14</v>
      </c>
      <c r="H45" s="46">
        <v>0</v>
      </c>
      <c r="I45" s="46">
        <v>0</v>
      </c>
      <c r="J45" s="46">
        <v>0</v>
      </c>
      <c r="K45" s="46">
        <v>7</v>
      </c>
      <c r="L45" s="46">
        <v>9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105"/>
      <c r="T45" s="100" t="str">
        <f>'50% Exceedance Baseline'!T45</f>
        <v>Flow input between Mgt. Pt. 1 and Mgt. Pt. 2</v>
      </c>
    </row>
    <row r="46" spans="2:26" s="12" customFormat="1" x14ac:dyDescent="0.25">
      <c r="B46" s="79" t="s">
        <v>7</v>
      </c>
      <c r="C46" s="16">
        <f>IF(C57&gt;C56,((C57-C56)*-1),((C56-C57)))</f>
        <v>129.75</v>
      </c>
      <c r="D46" s="16">
        <f t="shared" ref="D46:R46" si="24">IF(D57&gt;D56,((D57-D56)*-1),((D56-D57)))</f>
        <v>77.25</v>
      </c>
      <c r="E46" s="16">
        <f t="shared" si="24"/>
        <v>61.5</v>
      </c>
      <c r="F46" s="16">
        <f t="shared" si="24"/>
        <v>0.28999999999999204</v>
      </c>
      <c r="G46" s="16">
        <f t="shared" si="24"/>
        <v>0.87342547000000081</v>
      </c>
      <c r="H46" s="16">
        <f t="shared" si="24"/>
        <v>16.414954629999983</v>
      </c>
      <c r="I46" s="16">
        <f t="shared" si="24"/>
        <v>27.687835520000007</v>
      </c>
      <c r="J46" s="16">
        <f t="shared" si="24"/>
        <v>27.062286459999996</v>
      </c>
      <c r="K46" s="16">
        <f t="shared" si="24"/>
        <v>31.221497110000001</v>
      </c>
      <c r="L46" s="16">
        <f t="shared" si="24"/>
        <v>32.611113110000005</v>
      </c>
      <c r="M46" s="16">
        <f t="shared" si="24"/>
        <v>25.962395839999999</v>
      </c>
      <c r="N46" s="16">
        <f t="shared" si="24"/>
        <v>24.584833339999989</v>
      </c>
      <c r="O46" s="16">
        <f t="shared" si="24"/>
        <v>18.97338542</v>
      </c>
      <c r="P46" s="16">
        <f t="shared" si="24"/>
        <v>25.380871490000004</v>
      </c>
      <c r="Q46" s="16">
        <f t="shared" si="24"/>
        <v>20.230371560000009</v>
      </c>
      <c r="R46" s="14">
        <f t="shared" si="24"/>
        <v>27.957124999999991</v>
      </c>
      <c r="S46" s="18"/>
      <c r="T46" s="100" t="str">
        <f>'50% Exceedance Baseline'!T46</f>
        <v>Flow target surplus or deficit after input</v>
      </c>
      <c r="U46" s="13"/>
    </row>
    <row r="47" spans="2:26" s="138" customFormat="1" ht="15.75" thickBot="1" x14ac:dyDescent="0.3">
      <c r="B47" s="135" t="s">
        <v>115</v>
      </c>
      <c r="C47" s="136">
        <f t="shared" ref="C47:R47" si="25">C45*15*1.9835</f>
        <v>0</v>
      </c>
      <c r="D47" s="136">
        <f t="shared" si="25"/>
        <v>0</v>
      </c>
      <c r="E47" s="136">
        <f t="shared" si="25"/>
        <v>0</v>
      </c>
      <c r="F47" s="136">
        <f t="shared" si="25"/>
        <v>0</v>
      </c>
      <c r="G47" s="136">
        <f>G45*15*1.9835</f>
        <v>416.53500000000003</v>
      </c>
      <c r="H47" s="136">
        <f t="shared" si="25"/>
        <v>0</v>
      </c>
      <c r="I47" s="136">
        <f t="shared" si="25"/>
        <v>0</v>
      </c>
      <c r="J47" s="136">
        <f t="shared" si="25"/>
        <v>0</v>
      </c>
      <c r="K47" s="136">
        <f t="shared" si="25"/>
        <v>208.26750000000001</v>
      </c>
      <c r="L47" s="136">
        <f t="shared" si="25"/>
        <v>267.77249999999998</v>
      </c>
      <c r="M47" s="136">
        <f t="shared" si="25"/>
        <v>0</v>
      </c>
      <c r="N47" s="136">
        <f t="shared" si="25"/>
        <v>0</v>
      </c>
      <c r="O47" s="136">
        <f t="shared" si="25"/>
        <v>0</v>
      </c>
      <c r="P47" s="136">
        <f t="shared" si="25"/>
        <v>0</v>
      </c>
      <c r="Q47" s="136">
        <f t="shared" si="25"/>
        <v>0</v>
      </c>
      <c r="R47" s="137">
        <f t="shared" si="25"/>
        <v>0</v>
      </c>
      <c r="S47" s="136"/>
      <c r="T47" s="101" t="s">
        <v>118</v>
      </c>
      <c r="U47" s="139">
        <f>SUM(C47:R47)</f>
        <v>892.57500000000005</v>
      </c>
    </row>
    <row r="48" spans="2:26" ht="15.75" thickBot="1" x14ac:dyDescent="0.3">
      <c r="B48" s="73" t="s">
        <v>60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121">
        <v>0</v>
      </c>
      <c r="R48" s="46">
        <v>0</v>
      </c>
      <c r="S48" s="105"/>
      <c r="T48" s="100" t="str">
        <f>'50% Exceedance Baseline'!T48</f>
        <v>Flow input between Mgt. Pt. 1 and Mgt. Pt. 2</v>
      </c>
    </row>
    <row r="49" spans="2:21" x14ac:dyDescent="0.25">
      <c r="B49" s="79" t="s">
        <v>7</v>
      </c>
      <c r="C49" s="16">
        <f>IF(C57&gt;C56,((C57-C56)*-1),((C56-C57)))</f>
        <v>129.75</v>
      </c>
      <c r="D49" s="16">
        <f t="shared" ref="D49:R49" si="26">IF(D57&gt;D56,((D57-D56)*-1),((D56-D57)))</f>
        <v>77.25</v>
      </c>
      <c r="E49" s="16">
        <f t="shared" si="26"/>
        <v>61.5</v>
      </c>
      <c r="F49" s="16">
        <f t="shared" si="26"/>
        <v>0.28999999999999204</v>
      </c>
      <c r="G49" s="16">
        <f t="shared" si="26"/>
        <v>0.87342547000000081</v>
      </c>
      <c r="H49" s="16">
        <f t="shared" si="26"/>
        <v>16.414954629999983</v>
      </c>
      <c r="I49" s="16">
        <f t="shared" si="26"/>
        <v>27.687835520000007</v>
      </c>
      <c r="J49" s="16">
        <f t="shared" si="26"/>
        <v>27.062286459999996</v>
      </c>
      <c r="K49" s="16">
        <f t="shared" si="26"/>
        <v>31.221497110000001</v>
      </c>
      <c r="L49" s="16">
        <f t="shared" si="26"/>
        <v>32.611113110000005</v>
      </c>
      <c r="M49" s="16">
        <f t="shared" si="26"/>
        <v>25.962395839999999</v>
      </c>
      <c r="N49" s="16">
        <f t="shared" si="26"/>
        <v>24.584833339999989</v>
      </c>
      <c r="O49" s="16">
        <f t="shared" si="26"/>
        <v>18.97338542</v>
      </c>
      <c r="P49" s="16">
        <f t="shared" si="26"/>
        <v>25.380871490000004</v>
      </c>
      <c r="Q49" s="16">
        <f t="shared" si="26"/>
        <v>20.230371560000009</v>
      </c>
      <c r="R49" s="14">
        <f t="shared" si="26"/>
        <v>27.957124999999991</v>
      </c>
      <c r="S49" s="18"/>
      <c r="T49" s="100" t="str">
        <f>'50% Exceedance Baseline'!T49</f>
        <v>Flow target surplus or deficit after input</v>
      </c>
    </row>
    <row r="50" spans="2:21" x14ac:dyDescent="0.25">
      <c r="B50" s="81" t="s">
        <v>21</v>
      </c>
      <c r="C50" s="18">
        <f t="shared" ref="C50:N50" si="27">SUM(C42+C45+C48)</f>
        <v>0</v>
      </c>
      <c r="D50" s="18">
        <f t="shared" si="27"/>
        <v>0</v>
      </c>
      <c r="E50" s="18">
        <f t="shared" si="27"/>
        <v>0</v>
      </c>
      <c r="F50" s="18">
        <f t="shared" si="27"/>
        <v>41</v>
      </c>
      <c r="G50" s="18">
        <f>SUM(G42+G45+G48)</f>
        <v>122</v>
      </c>
      <c r="H50" s="18">
        <f t="shared" si="27"/>
        <v>85</v>
      </c>
      <c r="I50" s="18">
        <f t="shared" si="27"/>
        <v>71</v>
      </c>
      <c r="J50" s="18">
        <f t="shared" si="27"/>
        <v>70</v>
      </c>
      <c r="K50" s="18">
        <f t="shared" si="27"/>
        <v>71</v>
      </c>
      <c r="L50" s="18">
        <f t="shared" si="27"/>
        <v>74</v>
      </c>
      <c r="M50" s="18">
        <f t="shared" si="27"/>
        <v>67</v>
      </c>
      <c r="N50" s="18">
        <f t="shared" si="27"/>
        <v>68</v>
      </c>
      <c r="O50" s="18">
        <f>SUM(O42+O45+O48)</f>
        <v>50</v>
      </c>
      <c r="P50" s="18">
        <f>SUM(P42+P45+P48)</f>
        <v>52</v>
      </c>
      <c r="Q50" s="18">
        <f>SUM(Q42+Q45+Q48)</f>
        <v>38</v>
      </c>
      <c r="R50" s="17">
        <f>SUM(R42+R45+R48)</f>
        <v>27</v>
      </c>
      <c r="S50" s="18"/>
      <c r="T50" s="100" t="str">
        <f>'50% Exceedance Baseline'!T50</f>
        <v>Subtotal of all inputs in Milton-Freewater to Nursery Bridge reach</v>
      </c>
    </row>
    <row r="51" spans="2:21" ht="15.75" thickBot="1" x14ac:dyDescent="0.3">
      <c r="B51" s="80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7"/>
      <c r="S51" s="18"/>
    </row>
    <row r="52" spans="2:21" s="64" customFormat="1" ht="15.75" thickBot="1" x14ac:dyDescent="0.3">
      <c r="B52" s="70" t="s">
        <v>69</v>
      </c>
      <c r="C52" s="69">
        <f>'50% Exceedance Baseline'!C52</f>
        <v>-0.06</v>
      </c>
      <c r="D52" s="69">
        <f>'50% Exceedance Baseline'!D52</f>
        <v>-0.06</v>
      </c>
      <c r="E52" s="69">
        <f>'50% Exceedance Baseline'!E52</f>
        <v>-0.06</v>
      </c>
      <c r="F52" s="69">
        <f>'50% Exceedance Baseline'!F52</f>
        <v>-0.06</v>
      </c>
      <c r="G52" s="69">
        <f>'50% Exceedance Baseline'!G52</f>
        <v>-0.06</v>
      </c>
      <c r="H52" s="69">
        <f>'50% Exceedance Baseline'!H52</f>
        <v>-0.06</v>
      </c>
      <c r="I52" s="69">
        <f>'50% Exceedance Baseline'!I52</f>
        <v>-9.9000000000000005E-2</v>
      </c>
      <c r="J52" s="69">
        <f>'50% Exceedance Baseline'!J52</f>
        <v>-9.9000000000000005E-2</v>
      </c>
      <c r="K52" s="69">
        <f>'50% Exceedance Baseline'!K52</f>
        <v>-0.09</v>
      </c>
      <c r="L52" s="69">
        <f>'50% Exceedance Baseline'!L52</f>
        <v>-0.09</v>
      </c>
      <c r="M52" s="69">
        <f>'50% Exceedance Baseline'!M52</f>
        <v>-0.13700000000000001</v>
      </c>
      <c r="N52" s="69">
        <f>'50% Exceedance Baseline'!N52</f>
        <v>-0.13700000000000001</v>
      </c>
      <c r="O52" s="82">
        <f>'50% Exceedance Baseline'!O52</f>
        <v>6.0000000000000001E-3</v>
      </c>
      <c r="P52" s="82">
        <f>'50% Exceedance Baseline'!P52</f>
        <v>6.0000000000000001E-3</v>
      </c>
      <c r="Q52" s="69">
        <f>'50% Exceedance Baseline'!Q52</f>
        <v>-5.8999999999999997E-2</v>
      </c>
      <c r="R52" s="69">
        <f>'50% Exceedance Baseline'!R52</f>
        <v>-5.8999999999999997E-2</v>
      </c>
      <c r="S52" s="107"/>
      <c r="T52" s="100" t="str">
        <f>'50% Exceedance Baseline'!T52</f>
        <v>Percentage total inputs lost or gained due to streambed hydrology (2002-2015 WWBWC seepage data)</v>
      </c>
      <c r="U52" s="83"/>
    </row>
    <row r="53" spans="2:21" x14ac:dyDescent="0.25">
      <c r="B53" s="84" t="s">
        <v>20</v>
      </c>
      <c r="C53" s="57">
        <f t="shared" ref="C53:R53" si="28">SUM(C50+C30)*(1+C52)</f>
        <v>0</v>
      </c>
      <c r="D53" s="57">
        <f t="shared" si="28"/>
        <v>0</v>
      </c>
      <c r="E53" s="57">
        <f t="shared" si="28"/>
        <v>0</v>
      </c>
      <c r="F53" s="57">
        <f t="shared" si="28"/>
        <v>38.54</v>
      </c>
      <c r="G53" s="57">
        <f t="shared" si="28"/>
        <v>114.67999999999999</v>
      </c>
      <c r="H53" s="57">
        <f t="shared" si="28"/>
        <v>79.899999999999991</v>
      </c>
      <c r="I53" s="57">
        <f t="shared" si="28"/>
        <v>63.971000000000004</v>
      </c>
      <c r="J53" s="57">
        <f t="shared" si="28"/>
        <v>63.07</v>
      </c>
      <c r="K53" s="57">
        <f t="shared" si="28"/>
        <v>64.61</v>
      </c>
      <c r="L53" s="57">
        <f t="shared" si="28"/>
        <v>67.34</v>
      </c>
      <c r="M53" s="57">
        <f t="shared" si="28"/>
        <v>57.820999999999998</v>
      </c>
      <c r="N53" s="57">
        <f t="shared" si="28"/>
        <v>58.683999999999997</v>
      </c>
      <c r="O53" s="57">
        <f t="shared" si="28"/>
        <v>50.3</v>
      </c>
      <c r="P53" s="57">
        <f t="shared" si="28"/>
        <v>52.311999999999998</v>
      </c>
      <c r="Q53" s="57">
        <f t="shared" si="28"/>
        <v>35.758000000000003</v>
      </c>
      <c r="R53" s="58">
        <f t="shared" si="28"/>
        <v>25.407</v>
      </c>
      <c r="S53" s="110"/>
      <c r="T53" s="100" t="str">
        <f>'50% Exceedance Baseline'!T53</f>
        <v>Total of all upstream input flow adjusted for streambed loss or gain</v>
      </c>
    </row>
    <row r="54" spans="2:21" ht="15.75" thickBot="1" x14ac:dyDescent="0.3">
      <c r="B54" s="7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3"/>
      <c r="S54" s="110"/>
    </row>
    <row r="55" spans="2:21" ht="15.75" thickBot="1" x14ac:dyDescent="0.3">
      <c r="B55" s="24" t="s">
        <v>53</v>
      </c>
      <c r="C55" s="50">
        <f>'50% Exceedance Baseline'!C55</f>
        <v>279.75</v>
      </c>
      <c r="D55" s="50">
        <f>'50% Exceedance Baseline'!D55</f>
        <v>227.25</v>
      </c>
      <c r="E55" s="50">
        <f>'50% Exceedance Baseline'!E55</f>
        <v>211.5</v>
      </c>
      <c r="F55" s="50">
        <f>'50% Exceedance Baseline'!F55</f>
        <v>111.75</v>
      </c>
      <c r="G55" s="132">
        <f>'50% Exceedance Baseline'!G55</f>
        <v>36.193425470000001</v>
      </c>
      <c r="H55" s="132">
        <f>'50% Exceedance Baseline'!H55</f>
        <v>36.514954629999998</v>
      </c>
      <c r="I55" s="132">
        <f>'50% Exceedance Baseline'!I55</f>
        <v>28.71683552</v>
      </c>
      <c r="J55" s="132">
        <f>'50% Exceedance Baseline'!J55</f>
        <v>28.992286459999999</v>
      </c>
      <c r="K55" s="132">
        <f>'50% Exceedance Baseline'!K55</f>
        <v>31.611497109999998</v>
      </c>
      <c r="L55" s="132">
        <f>'50% Exceedance Baseline'!L55</f>
        <v>30.271113110000002</v>
      </c>
      <c r="M55" s="132">
        <f>'50% Exceedance Baseline'!M55</f>
        <v>33.141395840000001</v>
      </c>
      <c r="N55" s="132">
        <f>'50% Exceedance Baseline'!N55</f>
        <v>30.900833339999998</v>
      </c>
      <c r="O55" s="132">
        <f>'50% Exceedance Baseline'!O55</f>
        <v>33.673385420000002</v>
      </c>
      <c r="P55" s="132">
        <f>'50% Exceedance Baseline'!P55</f>
        <v>38.068871489999999</v>
      </c>
      <c r="Q55" s="132">
        <f>'50% Exceedance Baseline'!Q55</f>
        <v>49.472371559999999</v>
      </c>
      <c r="R55" s="132">
        <f>'50% Exceedance Baseline'!R55</f>
        <v>67.550124999999994</v>
      </c>
      <c r="S55" s="19"/>
      <c r="T55" s="100" t="str">
        <f>'50% Exceedance Baseline'!T55</f>
        <v>Median flow data at S-106 gage (2002-2016; April - May estimated)</v>
      </c>
    </row>
    <row r="56" spans="2:21" x14ac:dyDescent="0.25">
      <c r="B56" s="47" t="s">
        <v>37</v>
      </c>
      <c r="C56" s="48">
        <f>C55+C53</f>
        <v>279.75</v>
      </c>
      <c r="D56" s="48">
        <f t="shared" ref="D56:E56" si="29">D55+D53</f>
        <v>227.25</v>
      </c>
      <c r="E56" s="48">
        <f t="shared" si="29"/>
        <v>211.5</v>
      </c>
      <c r="F56" s="48">
        <f>F55+F53</f>
        <v>150.29</v>
      </c>
      <c r="G56" s="48">
        <f>G55+G53</f>
        <v>150.87342547</v>
      </c>
      <c r="H56" s="48">
        <f t="shared" ref="H56" si="30">H55+H53</f>
        <v>116.41495462999998</v>
      </c>
      <c r="I56" s="48">
        <f>I55+I53</f>
        <v>92.687835520000007</v>
      </c>
      <c r="J56" s="48">
        <f t="shared" ref="J56:N56" si="31">J55+J53</f>
        <v>92.062286459999996</v>
      </c>
      <c r="K56" s="48">
        <f t="shared" si="31"/>
        <v>96.221497110000001</v>
      </c>
      <c r="L56" s="48">
        <f t="shared" si="31"/>
        <v>97.611113110000005</v>
      </c>
      <c r="M56" s="48">
        <f t="shared" si="31"/>
        <v>90.962395839999999</v>
      </c>
      <c r="N56" s="48">
        <f t="shared" si="31"/>
        <v>89.584833339999989</v>
      </c>
      <c r="O56" s="48">
        <f>O55+O53</f>
        <v>83.97338542</v>
      </c>
      <c r="P56" s="48">
        <f>P55+P53</f>
        <v>90.380871490000004</v>
      </c>
      <c r="Q56" s="48">
        <f>Q55+Q53</f>
        <v>85.230371560000009</v>
      </c>
      <c r="R56" s="49">
        <f>R55+R53</f>
        <v>92.957124999999991</v>
      </c>
      <c r="S56" s="111"/>
      <c r="T56" s="100" t="str">
        <f>'50% Exceedance Baseline'!T56</f>
        <v>Flow gage data plus cumulative inputs adjusted for streambed loss or gain</v>
      </c>
    </row>
    <row r="57" spans="2:21" s="4" customFormat="1" x14ac:dyDescent="0.25">
      <c r="B57" s="10" t="s">
        <v>8</v>
      </c>
      <c r="C57" s="8">
        <f>$C$16</f>
        <v>150</v>
      </c>
      <c r="D57" s="8">
        <f>$D$16</f>
        <v>150</v>
      </c>
      <c r="E57" s="8">
        <f>$E$16</f>
        <v>150</v>
      </c>
      <c r="F57" s="8">
        <f>$F$16</f>
        <v>150</v>
      </c>
      <c r="G57" s="8">
        <f>$G$16</f>
        <v>150</v>
      </c>
      <c r="H57" s="8">
        <f>$H$16</f>
        <v>100</v>
      </c>
      <c r="I57" s="8">
        <f>$I$16</f>
        <v>65</v>
      </c>
      <c r="J57" s="8">
        <f>$J$16</f>
        <v>65</v>
      </c>
      <c r="K57" s="8">
        <f>$K$16</f>
        <v>65</v>
      </c>
      <c r="L57" s="8">
        <f>$L$16</f>
        <v>65</v>
      </c>
      <c r="M57" s="8">
        <f>$M$16</f>
        <v>65</v>
      </c>
      <c r="N57" s="8">
        <f>$N$16</f>
        <v>65</v>
      </c>
      <c r="O57" s="8">
        <f>$O$16</f>
        <v>65</v>
      </c>
      <c r="P57" s="8">
        <f>$P$16</f>
        <v>65</v>
      </c>
      <c r="Q57" s="8">
        <f>$Q$16</f>
        <v>65</v>
      </c>
      <c r="R57" s="9">
        <f>$R$16</f>
        <v>65</v>
      </c>
      <c r="S57" s="112"/>
      <c r="T57" s="100" t="str">
        <f>'50% Exceedance Baseline'!T57</f>
        <v>Target flows</v>
      </c>
      <c r="U57" s="131"/>
    </row>
    <row r="58" spans="2:21" s="30" customFormat="1" ht="15.75" thickBot="1" x14ac:dyDescent="0.3">
      <c r="B58" s="37" t="s">
        <v>10</v>
      </c>
      <c r="C58" s="38">
        <f>IF(C56&gt;C57,0,(C57-C56)*-1)</f>
        <v>0</v>
      </c>
      <c r="D58" s="38">
        <f t="shared" ref="D58:N58" si="32">IF(D56&gt;D57,0,(D57-D56)*-1)</f>
        <v>0</v>
      </c>
      <c r="E58" s="38">
        <f t="shared" si="32"/>
        <v>0</v>
      </c>
      <c r="F58" s="38">
        <f>IF(F56&gt;F57,0,(F57-F56)*-1)</f>
        <v>0</v>
      </c>
      <c r="G58" s="38">
        <f>IF(G56&gt;G57,0,(G57-G56)*-1)</f>
        <v>0</v>
      </c>
      <c r="H58" s="38">
        <f t="shared" si="32"/>
        <v>0</v>
      </c>
      <c r="I58" s="38">
        <f t="shared" si="32"/>
        <v>0</v>
      </c>
      <c r="J58" s="38">
        <f t="shared" si="32"/>
        <v>0</v>
      </c>
      <c r="K58" s="38">
        <f t="shared" si="32"/>
        <v>0</v>
      </c>
      <c r="L58" s="38">
        <f t="shared" si="32"/>
        <v>0</v>
      </c>
      <c r="M58" s="38">
        <f t="shared" si="32"/>
        <v>0</v>
      </c>
      <c r="N58" s="38">
        <f t="shared" si="32"/>
        <v>0</v>
      </c>
      <c r="O58" s="38">
        <f>IF(O56&gt;O57,0,(O57-O56)*-1)</f>
        <v>0</v>
      </c>
      <c r="P58" s="38">
        <f>IF(P56&gt;P57,0,(P57-P56)*-1)</f>
        <v>0</v>
      </c>
      <c r="Q58" s="38">
        <f>IF(Q56&gt;Q57,0,(Q57-Q56)*-1)</f>
        <v>0</v>
      </c>
      <c r="R58" s="39">
        <f>IF(R56&gt;R57,0,(R57-R56)*-1)</f>
        <v>0</v>
      </c>
      <c r="S58" s="105"/>
      <c r="T58" s="100" t="str">
        <f>'50% Exceedance Baseline'!T58</f>
        <v>Deficit between target flows and flow gage data plus total adjusted inputs</v>
      </c>
      <c r="U58" s="29"/>
    </row>
    <row r="59" spans="2:21" s="30" customFormat="1" x14ac:dyDescent="0.25">
      <c r="B59" s="40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105"/>
      <c r="T59" s="100"/>
      <c r="U59" s="29"/>
    </row>
    <row r="60" spans="2:21" s="15" customFormat="1" ht="15.75" thickBot="1" x14ac:dyDescent="0.3">
      <c r="B60" s="60" t="s">
        <v>63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8"/>
      <c r="T60" s="100"/>
      <c r="U60" s="7"/>
    </row>
    <row r="61" spans="2:21" ht="15.75" thickBot="1" x14ac:dyDescent="0.3">
      <c r="B61" s="78" t="s">
        <v>5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121">
        <v>0</v>
      </c>
      <c r="R61" s="46">
        <v>0</v>
      </c>
      <c r="S61" s="105"/>
      <c r="T61" s="100" t="str">
        <f>'50% Exceedance Baseline'!T61</f>
        <v>Flow input between Mgt. Pt. 2 and Mgt. Pt. 3</v>
      </c>
    </row>
    <row r="62" spans="2:21" x14ac:dyDescent="0.25">
      <c r="B62" s="79" t="s">
        <v>7</v>
      </c>
      <c r="C62" s="16">
        <f>IF(C76&gt;C75,((C76-C75)*-1),((C75-C76)))</f>
        <v>145.26822920000001</v>
      </c>
      <c r="D62" s="16">
        <f t="shared" ref="D62:E62" si="33">IF(D76&gt;D75,((D76-D75)*-1),((D75-D76)))</f>
        <v>109.96515360000001</v>
      </c>
      <c r="E62" s="16">
        <f t="shared" si="33"/>
        <v>94.1171875</v>
      </c>
      <c r="F62" s="16">
        <f>IF(F76&gt;F75,((F76-F75)*-1),((F75-F76)))</f>
        <v>47.782325399999991</v>
      </c>
      <c r="G62" s="16">
        <f>IF(G76&gt;G75,((G76-G75)*-1),((G75-G76)))</f>
        <v>15.306380869999998</v>
      </c>
      <c r="H62" s="16">
        <f t="shared" ref="H62:R62" si="34">IF(H76&gt;H75,((H76-H75)*-1),((H75-H76)))</f>
        <v>4.5480955899999884</v>
      </c>
      <c r="I62" s="16">
        <f t="shared" si="34"/>
        <v>0.39788814000000627</v>
      </c>
      <c r="J62" s="16">
        <f t="shared" si="34"/>
        <v>0.5553354200000058</v>
      </c>
      <c r="K62" s="16">
        <f t="shared" si="34"/>
        <v>0.47949583999999845</v>
      </c>
      <c r="L62" s="16">
        <f t="shared" si="34"/>
        <v>8.9494909999999095E-2</v>
      </c>
      <c r="M62" s="16">
        <f t="shared" si="34"/>
        <v>0.40563072999999861</v>
      </c>
      <c r="N62" s="16">
        <f t="shared" si="34"/>
        <v>0.30071623000000614</v>
      </c>
      <c r="O62" s="16">
        <f t="shared" si="34"/>
        <v>0.20647560999999826</v>
      </c>
      <c r="P62" s="16">
        <f t="shared" si="34"/>
        <v>7.8063807099999991</v>
      </c>
      <c r="Q62" s="16">
        <f t="shared" si="34"/>
        <v>27.554258420000011</v>
      </c>
      <c r="R62" s="14">
        <f t="shared" si="34"/>
        <v>39.204537610000017</v>
      </c>
      <c r="S62" s="18"/>
      <c r="T62" s="100" t="str">
        <f>'50% Exceedance Baseline'!T62</f>
        <v>Flow target surplus or deficit after input</v>
      </c>
    </row>
    <row r="63" spans="2:21" ht="15.75" thickBot="1" x14ac:dyDescent="0.3">
      <c r="B63" s="80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7"/>
      <c r="S63" s="18"/>
    </row>
    <row r="64" spans="2:21" s="12" customFormat="1" ht="15.75" thickBot="1" x14ac:dyDescent="0.3">
      <c r="B64" s="73" t="s">
        <v>6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121">
        <v>0</v>
      </c>
      <c r="R64" s="46">
        <v>0</v>
      </c>
      <c r="S64" s="105"/>
      <c r="T64" s="100" t="str">
        <f>'50% Exceedance Baseline'!T64</f>
        <v>Flow input between Mgt. Pt. 2 and Mgt. Pt. 3</v>
      </c>
      <c r="U64" s="13"/>
    </row>
    <row r="65" spans="2:21" s="4" customFormat="1" x14ac:dyDescent="0.25">
      <c r="B65" s="79" t="s">
        <v>7</v>
      </c>
      <c r="C65" s="16">
        <f>IF(C76&gt;C75,((C76-C75)*-1),((C75-C76)))</f>
        <v>145.26822920000001</v>
      </c>
      <c r="D65" s="16">
        <f t="shared" ref="D65:R65" si="35">IF(D76&gt;D75,((D76-D75)*-1),((D75-D76)))</f>
        <v>109.96515360000001</v>
      </c>
      <c r="E65" s="16">
        <f t="shared" si="35"/>
        <v>94.1171875</v>
      </c>
      <c r="F65" s="16">
        <f t="shared" si="35"/>
        <v>47.782325399999991</v>
      </c>
      <c r="G65" s="16">
        <f t="shared" si="35"/>
        <v>15.306380869999998</v>
      </c>
      <c r="H65" s="16">
        <f t="shared" si="35"/>
        <v>4.5480955899999884</v>
      </c>
      <c r="I65" s="16">
        <f t="shared" si="35"/>
        <v>0.39788814000000627</v>
      </c>
      <c r="J65" s="16">
        <f t="shared" si="35"/>
        <v>0.5553354200000058</v>
      </c>
      <c r="K65" s="16">
        <f t="shared" si="35"/>
        <v>0.47949583999999845</v>
      </c>
      <c r="L65" s="16">
        <f t="shared" si="35"/>
        <v>8.9494909999999095E-2</v>
      </c>
      <c r="M65" s="16">
        <f t="shared" si="35"/>
        <v>0.40563072999999861</v>
      </c>
      <c r="N65" s="16">
        <f t="shared" si="35"/>
        <v>0.30071623000000614</v>
      </c>
      <c r="O65" s="16">
        <f t="shared" si="35"/>
        <v>0.20647560999999826</v>
      </c>
      <c r="P65" s="16">
        <f t="shared" si="35"/>
        <v>7.8063807099999991</v>
      </c>
      <c r="Q65" s="16">
        <f t="shared" si="35"/>
        <v>27.554258420000011</v>
      </c>
      <c r="R65" s="14">
        <f t="shared" si="35"/>
        <v>39.204537610000017</v>
      </c>
      <c r="S65" s="18"/>
      <c r="T65" s="100" t="str">
        <f>'50% Exceedance Baseline'!T65</f>
        <v>Flow target surplus or deficit after input</v>
      </c>
      <c r="U65" s="131"/>
    </row>
    <row r="66" spans="2:21" s="4" customFormat="1" ht="15.75" thickBot="1" x14ac:dyDescent="0.3">
      <c r="B66" s="80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7"/>
      <c r="S66" s="18"/>
      <c r="T66" s="100"/>
      <c r="U66" s="131"/>
    </row>
    <row r="67" spans="2:21" ht="15.75" thickBot="1" x14ac:dyDescent="0.3">
      <c r="B67" s="73" t="s">
        <v>60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121">
        <v>0</v>
      </c>
      <c r="R67" s="46">
        <v>0</v>
      </c>
      <c r="S67" s="105"/>
      <c r="T67" s="100" t="str">
        <f>'50% Exceedance Baseline'!T67</f>
        <v>Flow input between Mgt. Pt. 2 and Mgt. Pt. 3</v>
      </c>
    </row>
    <row r="68" spans="2:21" s="4" customFormat="1" x14ac:dyDescent="0.25">
      <c r="B68" s="79" t="s">
        <v>7</v>
      </c>
      <c r="C68" s="16">
        <f>IF(C76&gt;C75,((C76-C75)*-1),((C75-C76)))</f>
        <v>145.26822920000001</v>
      </c>
      <c r="D68" s="16">
        <f t="shared" ref="D68:R68" si="36">IF(D76&gt;D75,((D76-D75)*-1),((D75-D76)))</f>
        <v>109.96515360000001</v>
      </c>
      <c r="E68" s="16">
        <f t="shared" si="36"/>
        <v>94.1171875</v>
      </c>
      <c r="F68" s="16">
        <f t="shared" si="36"/>
        <v>47.782325399999991</v>
      </c>
      <c r="G68" s="16">
        <f t="shared" si="36"/>
        <v>15.306380869999998</v>
      </c>
      <c r="H68" s="16">
        <f t="shared" si="36"/>
        <v>4.5480955899999884</v>
      </c>
      <c r="I68" s="16">
        <f t="shared" si="36"/>
        <v>0.39788814000000627</v>
      </c>
      <c r="J68" s="16">
        <f t="shared" si="36"/>
        <v>0.5553354200000058</v>
      </c>
      <c r="K68" s="16">
        <f t="shared" si="36"/>
        <v>0.47949583999999845</v>
      </c>
      <c r="L68" s="16">
        <f t="shared" si="36"/>
        <v>8.9494909999999095E-2</v>
      </c>
      <c r="M68" s="16">
        <f t="shared" si="36"/>
        <v>0.40563072999999861</v>
      </c>
      <c r="N68" s="16">
        <f t="shared" si="36"/>
        <v>0.30071623000000614</v>
      </c>
      <c r="O68" s="16">
        <f t="shared" si="36"/>
        <v>0.20647560999999826</v>
      </c>
      <c r="P68" s="16">
        <f t="shared" si="36"/>
        <v>7.8063807099999991</v>
      </c>
      <c r="Q68" s="16">
        <f t="shared" si="36"/>
        <v>27.554258420000011</v>
      </c>
      <c r="R68" s="14">
        <f t="shared" si="36"/>
        <v>39.204537610000017</v>
      </c>
      <c r="S68" s="18"/>
      <c r="T68" s="100" t="str">
        <f>'50% Exceedance Baseline'!T68</f>
        <v>Flow target surplus or deficit after input</v>
      </c>
      <c r="U68" s="131"/>
    </row>
    <row r="69" spans="2:21" x14ac:dyDescent="0.25">
      <c r="B69" s="81" t="s">
        <v>22</v>
      </c>
      <c r="C69" s="18">
        <f t="shared" ref="C69:F69" si="37">SUM(C61+C64+C67)</f>
        <v>0</v>
      </c>
      <c r="D69" s="18">
        <f t="shared" si="37"/>
        <v>0</v>
      </c>
      <c r="E69" s="18">
        <f t="shared" si="37"/>
        <v>0</v>
      </c>
      <c r="F69" s="18">
        <f t="shared" si="37"/>
        <v>0</v>
      </c>
      <c r="G69" s="18">
        <f>SUM(G61+G64+G67)</f>
        <v>0</v>
      </c>
      <c r="H69" s="18">
        <f t="shared" ref="H69:N69" si="38">SUM(H61+H64+H67)</f>
        <v>0</v>
      </c>
      <c r="I69" s="18">
        <f t="shared" si="38"/>
        <v>0</v>
      </c>
      <c r="J69" s="18">
        <f t="shared" si="38"/>
        <v>0</v>
      </c>
      <c r="K69" s="18">
        <f t="shared" si="38"/>
        <v>0</v>
      </c>
      <c r="L69" s="18">
        <f t="shared" si="38"/>
        <v>0</v>
      </c>
      <c r="M69" s="18">
        <f t="shared" si="38"/>
        <v>0</v>
      </c>
      <c r="N69" s="18">
        <f t="shared" si="38"/>
        <v>0</v>
      </c>
      <c r="O69" s="18">
        <f>SUM(O61+O64+O67)</f>
        <v>0</v>
      </c>
      <c r="P69" s="18">
        <f>SUM(P61+P64+P67)</f>
        <v>0</v>
      </c>
      <c r="Q69" s="18">
        <f>SUM(Q61+Q64+Q67)</f>
        <v>0</v>
      </c>
      <c r="R69" s="17">
        <f>SUM(R61+R64+R67)</f>
        <v>0</v>
      </c>
      <c r="S69" s="18"/>
      <c r="T69" s="100" t="str">
        <f>'50% Exceedance Baseline'!T69</f>
        <v>Subtotal of all inputs in Nursery Bridge to Pepper Bridge reach</v>
      </c>
    </row>
    <row r="70" spans="2:21" s="32" customFormat="1" ht="15.75" thickBot="1" x14ac:dyDescent="0.3">
      <c r="B70" s="80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7"/>
      <c r="S70" s="18"/>
      <c r="T70" s="100"/>
    </row>
    <row r="71" spans="2:21" s="64" customFormat="1" ht="15.75" thickBot="1" x14ac:dyDescent="0.3">
      <c r="B71" s="70" t="s">
        <v>69</v>
      </c>
      <c r="C71" s="69">
        <f>'50% Exceedance Baseline'!C71</f>
        <v>-0.16</v>
      </c>
      <c r="D71" s="69">
        <f>'50% Exceedance Baseline'!D71</f>
        <v>-0.16</v>
      </c>
      <c r="E71" s="69">
        <f>'50% Exceedance Baseline'!E71</f>
        <v>-0.16</v>
      </c>
      <c r="F71" s="69">
        <f>'50% Exceedance Baseline'!F71</f>
        <v>-0.16</v>
      </c>
      <c r="G71" s="69">
        <f>'50% Exceedance Baseline'!G71</f>
        <v>-0.16</v>
      </c>
      <c r="H71" s="69">
        <f>'50% Exceedance Baseline'!H71</f>
        <v>-0.16</v>
      </c>
      <c r="I71" s="69">
        <f>'50% Exceedance Baseline'!I71</f>
        <v>-0.24</v>
      </c>
      <c r="J71" s="69">
        <f>'50% Exceedance Baseline'!J71</f>
        <v>-0.24</v>
      </c>
      <c r="K71" s="69">
        <f>'50% Exceedance Baseline'!K71</f>
        <v>-0.26500000000000001</v>
      </c>
      <c r="L71" s="69">
        <f>'50% Exceedance Baseline'!L71</f>
        <v>-0.26500000000000001</v>
      </c>
      <c r="M71" s="69">
        <f>'50% Exceedance Baseline'!M71</f>
        <v>-0.215</v>
      </c>
      <c r="N71" s="69">
        <f>'50% Exceedance Baseline'!N71</f>
        <v>-0.215</v>
      </c>
      <c r="O71" s="69">
        <f>'50% Exceedance Baseline'!O71</f>
        <v>-0.17</v>
      </c>
      <c r="P71" s="69">
        <f>'50% Exceedance Baseline'!P71</f>
        <v>-0.17</v>
      </c>
      <c r="Q71" s="82">
        <f>'50% Exceedance Baseline'!Q71</f>
        <v>0.20899999999999999</v>
      </c>
      <c r="R71" s="82">
        <f>'50% Exceedance Baseline'!R71</f>
        <v>0.20899999999999999</v>
      </c>
      <c r="S71" s="107"/>
      <c r="T71" s="100" t="str">
        <f>'50% Exceedance Baseline'!T71</f>
        <v>Percentage total inputs lost or gained due to streambed hydrology (2002-2015 WWBWC seepage data); estimated current rates halved to reflect assumed seepage reductions from future projects</v>
      </c>
    </row>
    <row r="72" spans="2:21" s="28" customFormat="1" x14ac:dyDescent="0.25">
      <c r="B72" s="84" t="s">
        <v>20</v>
      </c>
      <c r="C72" s="57">
        <f>SUM(C69+C53)*(1+C71)</f>
        <v>0</v>
      </c>
      <c r="D72" s="57">
        <f t="shared" ref="D72:N72" si="39">SUM(D69+D53)*(1+D71)</f>
        <v>0</v>
      </c>
      <c r="E72" s="57">
        <f t="shared" si="39"/>
        <v>0</v>
      </c>
      <c r="F72" s="57">
        <f t="shared" si="39"/>
        <v>32.373599999999996</v>
      </c>
      <c r="G72" s="57">
        <f t="shared" si="39"/>
        <v>96.331199999999995</v>
      </c>
      <c r="H72" s="57">
        <f t="shared" si="39"/>
        <v>67.115999999999985</v>
      </c>
      <c r="I72" s="57">
        <f t="shared" si="39"/>
        <v>48.617960000000004</v>
      </c>
      <c r="J72" s="57">
        <f t="shared" si="39"/>
        <v>47.933199999999999</v>
      </c>
      <c r="K72" s="57">
        <f t="shared" si="39"/>
        <v>47.488349999999997</v>
      </c>
      <c r="L72" s="57">
        <f t="shared" si="39"/>
        <v>49.494900000000001</v>
      </c>
      <c r="M72" s="57">
        <f t="shared" si="39"/>
        <v>45.389485000000001</v>
      </c>
      <c r="N72" s="57">
        <f t="shared" si="39"/>
        <v>46.066940000000002</v>
      </c>
      <c r="O72" s="57">
        <f>SUM(O69+O53)*(1+O71)</f>
        <v>41.748999999999995</v>
      </c>
      <c r="P72" s="122">
        <f>SUM(P69+P53)*(1+P71)</f>
        <v>43.418959999999998</v>
      </c>
      <c r="Q72" s="57">
        <f>SUM(Q69+Q53)*(1+Q71)</f>
        <v>43.231422000000009</v>
      </c>
      <c r="R72" s="68">
        <f>SUM(R69+R53)*(1+R71)</f>
        <v>30.717063000000003</v>
      </c>
      <c r="S72" s="110"/>
      <c r="T72" s="100" t="str">
        <f>'50% Exceedance Baseline'!T72</f>
        <v>Total of all upstream input flow adjusted for streambed loss or gain</v>
      </c>
    </row>
    <row r="73" spans="2:21" s="21" customFormat="1" ht="15.75" thickBot="1" x14ac:dyDescent="0.3">
      <c r="B73" s="7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3"/>
      <c r="S73" s="110"/>
      <c r="T73" s="100"/>
      <c r="U73" s="20"/>
    </row>
    <row r="74" spans="2:21" s="12" customFormat="1" ht="15.75" thickBot="1" x14ac:dyDescent="0.3">
      <c r="B74" s="87" t="s">
        <v>54</v>
      </c>
      <c r="C74" s="123">
        <f>'50% Exceedance Baseline'!C74</f>
        <v>295.26822920000001</v>
      </c>
      <c r="D74" s="123">
        <f>'50% Exceedance Baseline'!D74</f>
        <v>259.96515360000001</v>
      </c>
      <c r="E74" s="123">
        <f>'50% Exceedance Baseline'!E74</f>
        <v>244.1171875</v>
      </c>
      <c r="F74" s="123">
        <f>'50% Exceedance Baseline'!F74</f>
        <v>165.40872540000001</v>
      </c>
      <c r="G74" s="123">
        <f>'50% Exceedance Baseline'!G74</f>
        <v>68.975180870000003</v>
      </c>
      <c r="H74" s="123">
        <f>'50% Exceedance Baseline'!H74</f>
        <v>37.432095590000003</v>
      </c>
      <c r="I74" s="123">
        <f>'50% Exceedance Baseline'!I74</f>
        <v>16.779928139999999</v>
      </c>
      <c r="J74" s="123">
        <f>'50% Exceedance Baseline'!J74</f>
        <v>17.622135419999999</v>
      </c>
      <c r="K74" s="123">
        <f>'50% Exceedance Baseline'!K74</f>
        <v>17.991145840000001</v>
      </c>
      <c r="L74" s="123">
        <f>'50% Exceedance Baseline'!L74</f>
        <v>15.59459491</v>
      </c>
      <c r="M74" s="123">
        <f>'50% Exceedance Baseline'!M74</f>
        <v>20.016145730000002</v>
      </c>
      <c r="N74" s="123">
        <f>'50% Exceedance Baseline'!N74</f>
        <v>19.23377623</v>
      </c>
      <c r="O74" s="123">
        <f>'50% Exceedance Baseline'!O74</f>
        <v>23.457475609999999</v>
      </c>
      <c r="P74" s="123">
        <f>'50% Exceedance Baseline'!P74</f>
        <v>29.387420710000001</v>
      </c>
      <c r="Q74" s="123">
        <f>'50% Exceedance Baseline'!Q74</f>
        <v>49.322836420000002</v>
      </c>
      <c r="R74" s="123">
        <f>'50% Exceedance Baseline'!R74</f>
        <v>73.487474610000007</v>
      </c>
      <c r="S74" s="108"/>
      <c r="T74" s="100" t="str">
        <f>'50% Exceedance Baseline'!T74</f>
        <v>Median flow data at S-108 gage (2004-2016)</v>
      </c>
    </row>
    <row r="75" spans="2:21" s="12" customFormat="1" x14ac:dyDescent="0.25">
      <c r="B75" s="88" t="s">
        <v>38</v>
      </c>
      <c r="C75" s="89">
        <f>C74+C72</f>
        <v>295.26822920000001</v>
      </c>
      <c r="D75" s="89">
        <f t="shared" ref="D75:E75" si="40">D74+D72</f>
        <v>259.96515360000001</v>
      </c>
      <c r="E75" s="89">
        <f t="shared" si="40"/>
        <v>244.1171875</v>
      </c>
      <c r="F75" s="89">
        <f>F74+F72</f>
        <v>197.78232539999999</v>
      </c>
      <c r="G75" s="89">
        <f t="shared" ref="G75:H75" si="41">G74+G72</f>
        <v>165.30638087</v>
      </c>
      <c r="H75" s="89">
        <f t="shared" si="41"/>
        <v>104.54809558999999</v>
      </c>
      <c r="I75" s="89">
        <f>I74+I72</f>
        <v>65.397888140000006</v>
      </c>
      <c r="J75" s="89">
        <f t="shared" ref="J75:N75" si="42">J74+J72</f>
        <v>65.555335420000006</v>
      </c>
      <c r="K75" s="89">
        <f t="shared" si="42"/>
        <v>65.479495839999998</v>
      </c>
      <c r="L75" s="89">
        <f t="shared" si="42"/>
        <v>65.089494909999999</v>
      </c>
      <c r="M75" s="89">
        <f t="shared" si="42"/>
        <v>65.405630729999999</v>
      </c>
      <c r="N75" s="89">
        <f t="shared" si="42"/>
        <v>65.300716230000006</v>
      </c>
      <c r="O75" s="89">
        <f>O74+O72</f>
        <v>65.206475609999998</v>
      </c>
      <c r="P75" s="89">
        <f>P74+P72</f>
        <v>72.806380709999999</v>
      </c>
      <c r="Q75" s="89">
        <f>Q74+Q72</f>
        <v>92.554258420000011</v>
      </c>
      <c r="R75" s="90">
        <f>R74+R72</f>
        <v>104.20453761000002</v>
      </c>
      <c r="S75" s="113"/>
      <c r="T75" s="100" t="str">
        <f>'50% Exceedance Baseline'!T75</f>
        <v>Flow gage data plus cumulative inputs adjusted for streambed loss or gain</v>
      </c>
    </row>
    <row r="76" spans="2:21" s="4" customFormat="1" x14ac:dyDescent="0.25">
      <c r="B76" s="10" t="s">
        <v>8</v>
      </c>
      <c r="C76" s="8">
        <f>$C$16</f>
        <v>150</v>
      </c>
      <c r="D76" s="8">
        <f>$D$16</f>
        <v>150</v>
      </c>
      <c r="E76" s="8">
        <f>$E$16</f>
        <v>150</v>
      </c>
      <c r="F76" s="8">
        <f>$F$16</f>
        <v>150</v>
      </c>
      <c r="G76" s="8">
        <f>$G$16</f>
        <v>150</v>
      </c>
      <c r="H76" s="8">
        <f>$H$16</f>
        <v>100</v>
      </c>
      <c r="I76" s="8">
        <f>$I$16</f>
        <v>65</v>
      </c>
      <c r="J76" s="8">
        <f>$J$16</f>
        <v>65</v>
      </c>
      <c r="K76" s="8">
        <f>$K$16</f>
        <v>65</v>
      </c>
      <c r="L76" s="8">
        <f>$L$16</f>
        <v>65</v>
      </c>
      <c r="M76" s="8">
        <f>$M$16</f>
        <v>65</v>
      </c>
      <c r="N76" s="8">
        <f>$N$16</f>
        <v>65</v>
      </c>
      <c r="O76" s="8">
        <f>$O$16</f>
        <v>65</v>
      </c>
      <c r="P76" s="8">
        <f>$P$16</f>
        <v>65</v>
      </c>
      <c r="Q76" s="8">
        <f>$Q$16</f>
        <v>65</v>
      </c>
      <c r="R76" s="9">
        <f>$R$16</f>
        <v>65</v>
      </c>
      <c r="S76" s="112"/>
      <c r="T76" s="100" t="str">
        <f>'50% Exceedance Baseline'!T76</f>
        <v>Target flows</v>
      </c>
    </row>
    <row r="77" spans="2:21" ht="15.75" thickBot="1" x14ac:dyDescent="0.3">
      <c r="B77" s="37" t="s">
        <v>12</v>
      </c>
      <c r="C77" s="38">
        <f>IF(C75&gt;C76,0,(C76-C75)*-1)</f>
        <v>0</v>
      </c>
      <c r="D77" s="38">
        <f t="shared" ref="D77:E77" si="43">IF(D75&gt;D76,0,(D76-D75)*-1)</f>
        <v>0</v>
      </c>
      <c r="E77" s="38">
        <f t="shared" si="43"/>
        <v>0</v>
      </c>
      <c r="F77" s="38">
        <f>IF(F75&gt;F76,0,(F76-F75)*-1)</f>
        <v>0</v>
      </c>
      <c r="G77" s="38">
        <f t="shared" ref="G77:N77" si="44">IF(G75&gt;G76,0,(G76-G75)*-1)</f>
        <v>0</v>
      </c>
      <c r="H77" s="38">
        <f t="shared" si="44"/>
        <v>0</v>
      </c>
      <c r="I77" s="38">
        <f t="shared" si="44"/>
        <v>0</v>
      </c>
      <c r="J77" s="38">
        <f t="shared" si="44"/>
        <v>0</v>
      </c>
      <c r="K77" s="38">
        <f t="shared" si="44"/>
        <v>0</v>
      </c>
      <c r="L77" s="38">
        <f t="shared" si="44"/>
        <v>0</v>
      </c>
      <c r="M77" s="38">
        <f t="shared" si="44"/>
        <v>0</v>
      </c>
      <c r="N77" s="38">
        <f t="shared" si="44"/>
        <v>0</v>
      </c>
      <c r="O77" s="38">
        <f>IF(O75&gt;O76,0,(O76-O75)*-1)</f>
        <v>0</v>
      </c>
      <c r="P77" s="38">
        <f>IF(P75&gt;P76,0,(P76-P75)*-1)</f>
        <v>0</v>
      </c>
      <c r="Q77" s="38">
        <f>IF(Q75&gt;Q76,0,(Q76-Q75)*-1)</f>
        <v>0</v>
      </c>
      <c r="R77" s="39">
        <f>IF(R75&gt;R76,0,(R76-R75)*-1)</f>
        <v>0</v>
      </c>
      <c r="S77" s="105"/>
      <c r="T77" s="100" t="str">
        <f>'50% Exceedance Baseline'!T77</f>
        <v>Deficit between target flows and flow gage data plus total adjusted inputs</v>
      </c>
    </row>
    <row r="78" spans="2:21" x14ac:dyDescent="0.25">
      <c r="B78" s="9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110"/>
    </row>
    <row r="80" spans="2:21" x14ac:dyDescent="0.25">
      <c r="B80" s="35" t="s">
        <v>3</v>
      </c>
      <c r="C80" s="34">
        <f>'50% Exceedance Baseline'!C80</f>
        <v>30</v>
      </c>
      <c r="D80" s="34">
        <f>'50% Exceedance Baseline'!D80</f>
        <v>30</v>
      </c>
      <c r="E80" s="34">
        <f>'50% Exceedance Baseline'!E80</f>
        <v>30</v>
      </c>
      <c r="F80" s="34">
        <f>'50% Exceedance Baseline'!F80</f>
        <v>30</v>
      </c>
      <c r="G80" s="34">
        <f>'50% Exceedance Baseline'!G80</f>
        <v>10</v>
      </c>
      <c r="H80" s="34">
        <f>'50% Exceedance Baseline'!H80</f>
        <v>10</v>
      </c>
      <c r="I80" s="34">
        <f>'50% Exceedance Baseline'!I80</f>
        <v>5</v>
      </c>
      <c r="J80" s="34">
        <f>'50% Exceedance Baseline'!J80</f>
        <v>5</v>
      </c>
      <c r="K80" s="34">
        <f>'50% Exceedance Baseline'!K80</f>
        <v>3</v>
      </c>
      <c r="L80" s="34">
        <f>'50% Exceedance Baseline'!L80</f>
        <v>3</v>
      </c>
      <c r="M80" s="34">
        <f>'50% Exceedance Baseline'!M80</f>
        <v>8</v>
      </c>
      <c r="N80" s="34">
        <f>'50% Exceedance Baseline'!N80</f>
        <v>8</v>
      </c>
      <c r="O80" s="34">
        <f>'50% Exceedance Baseline'!O80</f>
        <v>10</v>
      </c>
      <c r="P80" s="34">
        <f>'50% Exceedance Baseline'!P80</f>
        <v>10</v>
      </c>
      <c r="Q80" s="34">
        <f>'50% Exceedance Baseline'!Q80</f>
        <v>20</v>
      </c>
      <c r="R80" s="34">
        <f>'50% Exceedance Baseline'!R80</f>
        <v>20</v>
      </c>
      <c r="S80" s="63"/>
      <c r="T80" s="100" t="str">
        <f>'50% Exceedance Baseline'!T80</f>
        <v>Estimates for 2014-2015</v>
      </c>
    </row>
    <row r="81" spans="2:21" s="12" customFormat="1" x14ac:dyDescent="0.25">
      <c r="B81" s="62" t="s">
        <v>110</v>
      </c>
      <c r="C81" s="19">
        <v>10</v>
      </c>
      <c r="D81" s="19">
        <v>10</v>
      </c>
      <c r="E81" s="19">
        <v>10</v>
      </c>
      <c r="F81" s="19">
        <v>10</v>
      </c>
      <c r="G81" s="19">
        <v>5</v>
      </c>
      <c r="H81" s="19">
        <v>5</v>
      </c>
      <c r="I81" s="19">
        <v>3</v>
      </c>
      <c r="J81" s="19">
        <v>3</v>
      </c>
      <c r="K81" s="19">
        <v>3</v>
      </c>
      <c r="L81" s="19">
        <v>3</v>
      </c>
      <c r="M81" s="19">
        <v>3</v>
      </c>
      <c r="N81" s="19">
        <v>3</v>
      </c>
      <c r="O81" s="19">
        <v>3</v>
      </c>
      <c r="P81" s="19">
        <v>3</v>
      </c>
      <c r="Q81" s="19">
        <v>10</v>
      </c>
      <c r="R81" s="19">
        <v>10</v>
      </c>
      <c r="S81" s="19"/>
      <c r="T81" s="100"/>
    </row>
    <row r="82" spans="2:21" s="4" customFormat="1" x14ac:dyDescent="0.25">
      <c r="B82" s="86" t="s">
        <v>11</v>
      </c>
      <c r="C82" s="92">
        <f>'50% Exceedance Baseline'!C82</f>
        <v>90</v>
      </c>
      <c r="D82" s="92">
        <f>'50% Exceedance Baseline'!D82</f>
        <v>75</v>
      </c>
      <c r="E82" s="92">
        <f>'50% Exceedance Baseline'!E82</f>
        <v>50</v>
      </c>
      <c r="F82" s="92">
        <f>'50% Exceedance Baseline'!F82</f>
        <v>50</v>
      </c>
      <c r="G82" s="92">
        <f>'50% Exceedance Baseline'!G82</f>
        <v>35</v>
      </c>
      <c r="H82" s="92">
        <f>'50% Exceedance Baseline'!H82</f>
        <v>30</v>
      </c>
      <c r="I82" s="92">
        <f>'50% Exceedance Baseline'!I82</f>
        <v>0</v>
      </c>
      <c r="J82" s="92">
        <f>'50% Exceedance Baseline'!J82</f>
        <v>0</v>
      </c>
      <c r="K82" s="92">
        <f>'50% Exceedance Baseline'!K82</f>
        <v>0</v>
      </c>
      <c r="L82" s="92">
        <f>'50% Exceedance Baseline'!L82</f>
        <v>0</v>
      </c>
      <c r="M82" s="92">
        <f>'50% Exceedance Baseline'!M82</f>
        <v>0</v>
      </c>
      <c r="N82" s="92">
        <f>'50% Exceedance Baseline'!N82</f>
        <v>0</v>
      </c>
      <c r="O82" s="92">
        <f>'50% Exceedance Baseline'!O82</f>
        <v>32</v>
      </c>
      <c r="P82" s="92">
        <f>'50% Exceedance Baseline'!P82</f>
        <v>36</v>
      </c>
      <c r="Q82" s="92">
        <f>'50% Exceedance Baseline'!Q82</f>
        <v>58</v>
      </c>
      <c r="R82" s="92">
        <f>'50% Exceedance Baseline'!R82</f>
        <v>58</v>
      </c>
      <c r="S82" s="114"/>
      <c r="T82" s="100"/>
    </row>
    <row r="83" spans="2:21" s="4" customFormat="1" x14ac:dyDescent="0.25">
      <c r="B83" s="86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114"/>
      <c r="T83" s="100"/>
    </row>
    <row r="84" spans="2:21" s="4" customFormat="1" ht="15.75" thickBot="1" x14ac:dyDescent="0.3">
      <c r="B84" s="61" t="s">
        <v>61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114"/>
      <c r="T84" s="100"/>
    </row>
    <row r="85" spans="2:21" ht="15.75" thickBot="1" x14ac:dyDescent="0.3">
      <c r="B85" s="78" t="s">
        <v>5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121">
        <v>0</v>
      </c>
      <c r="R85" s="46">
        <v>0</v>
      </c>
      <c r="S85" s="105"/>
      <c r="T85" s="100" t="str">
        <f>'50% Exceedance Baseline'!T85</f>
        <v>Flow input between Mgt. Pt. 3 and Mgt. Pt. 4</v>
      </c>
    </row>
    <row r="86" spans="2:21" x14ac:dyDescent="0.25">
      <c r="B86" s="79" t="s">
        <v>7</v>
      </c>
      <c r="C86" s="16">
        <f>IF(C100&gt;C99,((C100-C99)*-1),((C99-C100)))</f>
        <v>190.65885420000001</v>
      </c>
      <c r="D86" s="16">
        <f t="shared" ref="D86:E86" si="45">IF(D100&gt;D99,((D100-D99)*-1),((D99-D100)))</f>
        <v>127.40364579999999</v>
      </c>
      <c r="E86" s="16">
        <f t="shared" si="45"/>
        <v>109.20572920000001</v>
      </c>
      <c r="F86" s="16">
        <f>IF(F100&gt;F99,((F100-F99)*-1),((F99-F100)))</f>
        <v>80.912228999999996</v>
      </c>
      <c r="G86" s="16">
        <f>IF(G100&gt;G99,((G100-G99)*-1),((G99-G100)))</f>
        <v>11.405011599999995</v>
      </c>
      <c r="H86" s="16">
        <f t="shared" ref="H86:P86" si="46">IF(H100&gt;H99,((H100-H99)*-1),((H99-H100)))</f>
        <v>0.12078591999998878</v>
      </c>
      <c r="I86" s="16">
        <f t="shared" si="46"/>
        <v>14.697409860000008</v>
      </c>
      <c r="J86" s="16">
        <f t="shared" si="46"/>
        <v>18.200391620000005</v>
      </c>
      <c r="K86" s="16">
        <f t="shared" si="46"/>
        <v>15.889717179999991</v>
      </c>
      <c r="L86" s="16">
        <f t="shared" si="46"/>
        <v>18.591996899999998</v>
      </c>
      <c r="M86" s="16">
        <f t="shared" si="46"/>
        <v>21.306487145000006</v>
      </c>
      <c r="N86" s="16">
        <f t="shared" si="46"/>
        <v>27.989967829999998</v>
      </c>
      <c r="O86" s="16">
        <f t="shared" si="46"/>
        <v>4.2993811699999895</v>
      </c>
      <c r="P86" s="16">
        <f t="shared" si="46"/>
        <v>0.36539808000000562</v>
      </c>
      <c r="Q86" s="16">
        <f>IF(Q100&gt;Q99,((Q100-Q99)*-1),((Q99-Q100)))</f>
        <v>0.34801424400001224</v>
      </c>
      <c r="R86" s="14">
        <f>IF(R100&gt;R99,((R100-R99)*-1),((R99-R100)))</f>
        <v>0.7690249209999962</v>
      </c>
      <c r="S86" s="18"/>
      <c r="T86" s="100" t="str">
        <f>'50% Exceedance Baseline'!T86</f>
        <v>Flow target surplus or deficit after input</v>
      </c>
    </row>
    <row r="87" spans="2:21" ht="15.75" thickBot="1" x14ac:dyDescent="0.3">
      <c r="B87" s="80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7"/>
      <c r="S87" s="18"/>
    </row>
    <row r="88" spans="2:21" s="4" customFormat="1" ht="15.75" thickBot="1" x14ac:dyDescent="0.3">
      <c r="B88" s="73" t="s">
        <v>6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121">
        <v>0</v>
      </c>
      <c r="R88" s="46">
        <v>0</v>
      </c>
      <c r="S88" s="105"/>
      <c r="T88" s="100" t="str">
        <f>'50% Exceedance Baseline'!T88</f>
        <v>Flow input between Mgt. Pt. 3 and Mgt. Pt. 4</v>
      </c>
      <c r="U88" s="131"/>
    </row>
    <row r="89" spans="2:21" x14ac:dyDescent="0.25">
      <c r="B89" s="79" t="s">
        <v>7</v>
      </c>
      <c r="C89" s="16">
        <f>IF(C100&gt;C99,((C100-C99)*-1),((C99-C100)))</f>
        <v>190.65885420000001</v>
      </c>
      <c r="D89" s="16">
        <f t="shared" ref="D89:R89" si="47">IF(D100&gt;D99,((D100-D99)*-1),((D99-D100)))</f>
        <v>127.40364579999999</v>
      </c>
      <c r="E89" s="16">
        <f t="shared" si="47"/>
        <v>109.20572920000001</v>
      </c>
      <c r="F89" s="16">
        <f t="shared" si="47"/>
        <v>80.912228999999996</v>
      </c>
      <c r="G89" s="16">
        <f t="shared" si="47"/>
        <v>11.405011599999995</v>
      </c>
      <c r="H89" s="16">
        <f t="shared" si="47"/>
        <v>0.12078591999998878</v>
      </c>
      <c r="I89" s="16">
        <f t="shared" si="47"/>
        <v>14.697409860000008</v>
      </c>
      <c r="J89" s="16">
        <f t="shared" si="47"/>
        <v>18.200391620000005</v>
      </c>
      <c r="K89" s="16">
        <f t="shared" si="47"/>
        <v>15.889717179999991</v>
      </c>
      <c r="L89" s="16">
        <f t="shared" si="47"/>
        <v>18.591996899999998</v>
      </c>
      <c r="M89" s="16">
        <f t="shared" si="47"/>
        <v>21.306487145000006</v>
      </c>
      <c r="N89" s="16">
        <f t="shared" si="47"/>
        <v>27.989967829999998</v>
      </c>
      <c r="O89" s="16">
        <f t="shared" si="47"/>
        <v>4.2993811699999895</v>
      </c>
      <c r="P89" s="16">
        <f t="shared" si="47"/>
        <v>0.36539808000000562</v>
      </c>
      <c r="Q89" s="16">
        <f t="shared" si="47"/>
        <v>0.34801424400001224</v>
      </c>
      <c r="R89" s="14">
        <f t="shared" si="47"/>
        <v>0.7690249209999962</v>
      </c>
      <c r="S89" s="18"/>
      <c r="T89" s="100" t="str">
        <f>'50% Exceedance Baseline'!T89</f>
        <v>Flow target surplus or deficit after input</v>
      </c>
    </row>
    <row r="90" spans="2:21" s="4" customFormat="1" ht="15.75" thickBot="1" x14ac:dyDescent="0.3">
      <c r="B90" s="80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7"/>
      <c r="S90" s="18"/>
      <c r="T90" s="100"/>
      <c r="U90" s="131"/>
    </row>
    <row r="91" spans="2:21" s="28" customFormat="1" ht="15.75" thickBot="1" x14ac:dyDescent="0.3">
      <c r="B91" s="73" t="s">
        <v>60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121">
        <v>0</v>
      </c>
      <c r="R91" s="46">
        <v>0</v>
      </c>
      <c r="S91" s="105"/>
      <c r="T91" s="100" t="str">
        <f>'50% Exceedance Baseline'!T91</f>
        <v>Flow input between Mgt. Pt. 3 and Mgt. Pt. 4</v>
      </c>
    </row>
    <row r="92" spans="2:21" s="4" customFormat="1" x14ac:dyDescent="0.25">
      <c r="B92" s="79" t="s">
        <v>7</v>
      </c>
      <c r="C92" s="16">
        <f>IF(C100&gt;C99,((C100-C99)*-1),((C99-C100)))</f>
        <v>190.65885420000001</v>
      </c>
      <c r="D92" s="16">
        <f t="shared" ref="D92:R92" si="48">IF(D100&gt;D99,((D100-D99)*-1),((D99-D100)))</f>
        <v>127.40364579999999</v>
      </c>
      <c r="E92" s="16">
        <f t="shared" si="48"/>
        <v>109.20572920000001</v>
      </c>
      <c r="F92" s="16">
        <f t="shared" si="48"/>
        <v>80.912228999999996</v>
      </c>
      <c r="G92" s="16">
        <f t="shared" si="48"/>
        <v>11.405011599999995</v>
      </c>
      <c r="H92" s="16">
        <f t="shared" si="48"/>
        <v>0.12078591999998878</v>
      </c>
      <c r="I92" s="16">
        <f t="shared" si="48"/>
        <v>14.697409860000008</v>
      </c>
      <c r="J92" s="16">
        <f t="shared" si="48"/>
        <v>18.200391620000005</v>
      </c>
      <c r="K92" s="16">
        <f t="shared" si="48"/>
        <v>15.889717179999991</v>
      </c>
      <c r="L92" s="16">
        <f t="shared" si="48"/>
        <v>18.591996899999998</v>
      </c>
      <c r="M92" s="16">
        <f t="shared" si="48"/>
        <v>21.306487145000006</v>
      </c>
      <c r="N92" s="16">
        <f t="shared" si="48"/>
        <v>27.989967829999998</v>
      </c>
      <c r="O92" s="16">
        <f t="shared" si="48"/>
        <v>4.2993811699999895</v>
      </c>
      <c r="P92" s="16">
        <f t="shared" si="48"/>
        <v>0.36539808000000562</v>
      </c>
      <c r="Q92" s="16">
        <f t="shared" si="48"/>
        <v>0.34801424400001224</v>
      </c>
      <c r="R92" s="14">
        <f t="shared" si="48"/>
        <v>0.7690249209999962</v>
      </c>
      <c r="S92" s="18"/>
      <c r="T92" s="100" t="str">
        <f>'50% Exceedance Baseline'!T92</f>
        <v>Flow target surplus or deficit after input</v>
      </c>
      <c r="U92" s="131"/>
    </row>
    <row r="93" spans="2:21" s="4" customFormat="1" x14ac:dyDescent="0.25">
      <c r="B93" s="81" t="s">
        <v>23</v>
      </c>
      <c r="C93" s="18">
        <f t="shared" ref="C93:F93" si="49">SUM(C85+C88+C91)</f>
        <v>0</v>
      </c>
      <c r="D93" s="18">
        <f t="shared" si="49"/>
        <v>0</v>
      </c>
      <c r="E93" s="18">
        <f t="shared" si="49"/>
        <v>0</v>
      </c>
      <c r="F93" s="18">
        <f t="shared" si="49"/>
        <v>0</v>
      </c>
      <c r="G93" s="18">
        <f>SUM(G85+G88+G91)</f>
        <v>0</v>
      </c>
      <c r="H93" s="18">
        <f t="shared" ref="H93:N93" si="50">SUM(H85+H88+H91)</f>
        <v>0</v>
      </c>
      <c r="I93" s="18">
        <f t="shared" si="50"/>
        <v>0</v>
      </c>
      <c r="J93" s="18">
        <f t="shared" si="50"/>
        <v>0</v>
      </c>
      <c r="K93" s="18">
        <f t="shared" si="50"/>
        <v>0</v>
      </c>
      <c r="L93" s="18">
        <f t="shared" si="50"/>
        <v>0</v>
      </c>
      <c r="M93" s="18">
        <f t="shared" si="50"/>
        <v>0</v>
      </c>
      <c r="N93" s="18">
        <f t="shared" si="50"/>
        <v>0</v>
      </c>
      <c r="O93" s="18">
        <f>SUM(O85+O88+O91)</f>
        <v>0</v>
      </c>
      <c r="P93" s="18">
        <f>SUM(P85+P88+P91)</f>
        <v>0</v>
      </c>
      <c r="Q93" s="18">
        <f>SUM(Q85+Q88+Q91)</f>
        <v>0</v>
      </c>
      <c r="R93" s="17">
        <f>SUM(R85+R88+R91)</f>
        <v>0</v>
      </c>
      <c r="S93" s="18"/>
      <c r="T93" s="100" t="str">
        <f>'50% Exceedance Baseline'!T93</f>
        <v>Subtotal of all inputs in Pepper Bridge to Beet Road reach</v>
      </c>
      <c r="U93" s="131"/>
    </row>
    <row r="94" spans="2:21" s="26" customFormat="1" ht="15.75" thickBot="1" x14ac:dyDescent="0.3">
      <c r="B94" s="80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7"/>
      <c r="S94" s="18"/>
      <c r="T94" s="100"/>
      <c r="U94" s="25"/>
    </row>
    <row r="95" spans="2:21" s="64" customFormat="1" ht="15.75" thickBot="1" x14ac:dyDescent="0.3">
      <c r="B95" s="70" t="s">
        <v>69</v>
      </c>
      <c r="C95" s="69">
        <f>'50% Exceedance Baseline'!C95</f>
        <v>-0.107</v>
      </c>
      <c r="D95" s="69">
        <f>'50% Exceedance Baseline'!D95</f>
        <v>-0.107</v>
      </c>
      <c r="E95" s="69">
        <f>'50% Exceedance Baseline'!E95</f>
        <v>-0.107</v>
      </c>
      <c r="F95" s="69">
        <f>'50% Exceedance Baseline'!F95</f>
        <v>-0.107</v>
      </c>
      <c r="G95" s="69">
        <f>'50% Exceedance Baseline'!G95</f>
        <v>-0.107</v>
      </c>
      <c r="H95" s="69">
        <f>'50% Exceedance Baseline'!H95</f>
        <v>-0.107</v>
      </c>
      <c r="I95" s="82">
        <f>'50% Exceedance Baseline'!I95</f>
        <v>1.6E-2</v>
      </c>
      <c r="J95" s="82">
        <f>'50% Exceedance Baseline'!J95</f>
        <v>1.6E-2</v>
      </c>
      <c r="K95" s="69">
        <f>'50% Exceedance Baseline'!K95</f>
        <v>-1.9E-2</v>
      </c>
      <c r="L95" s="69">
        <f>'50% Exceedance Baseline'!L95</f>
        <v>-1.9E-2</v>
      </c>
      <c r="M95" s="69">
        <f>'50% Exceedance Baseline'!M95</f>
        <v>-4.2999999999999997E-2</v>
      </c>
      <c r="N95" s="69">
        <f>'50% Exceedance Baseline'!N95</f>
        <v>-4.2999999999999997E-2</v>
      </c>
      <c r="O95" s="69">
        <f>'50% Exceedance Baseline'!O95</f>
        <v>-2.7E-2</v>
      </c>
      <c r="P95" s="69">
        <f>'50% Exceedance Baseline'!P95</f>
        <v>-2.7E-2</v>
      </c>
      <c r="Q95" s="69">
        <f>'50% Exceedance Baseline'!Q95</f>
        <v>-3.3000000000000002E-2</v>
      </c>
      <c r="R95" s="69">
        <f>'50% Exceedance Baseline'!R95</f>
        <v>-3.3000000000000002E-2</v>
      </c>
      <c r="S95" s="107"/>
      <c r="T95" s="100" t="str">
        <f>'50% Exceedance Baseline'!T95</f>
        <v>Percentage total inputs lost or gained due to streambed hydrology (2002-2015 WWBWC seepage data)</v>
      </c>
      <c r="U95" s="83"/>
    </row>
    <row r="96" spans="2:21" x14ac:dyDescent="0.25">
      <c r="B96" s="84" t="s">
        <v>20</v>
      </c>
      <c r="C96" s="57">
        <f>SUM(C93+C72)*(1+C95)</f>
        <v>0</v>
      </c>
      <c r="D96" s="57">
        <f t="shared" ref="D96:N96" si="51">SUM(D93+D72)*(1+D95)</f>
        <v>0</v>
      </c>
      <c r="E96" s="57">
        <f t="shared" si="51"/>
        <v>0</v>
      </c>
      <c r="F96" s="57">
        <f t="shared" si="51"/>
        <v>28.909624799999996</v>
      </c>
      <c r="G96" s="57">
        <f t="shared" si="51"/>
        <v>86.0237616</v>
      </c>
      <c r="H96" s="57">
        <f t="shared" si="51"/>
        <v>59.934587999999991</v>
      </c>
      <c r="I96" s="57">
        <f t="shared" si="51"/>
        <v>49.395847360000005</v>
      </c>
      <c r="J96" s="57">
        <f t="shared" si="51"/>
        <v>48.700131200000001</v>
      </c>
      <c r="K96" s="57">
        <f t="shared" si="51"/>
        <v>46.586071349999997</v>
      </c>
      <c r="L96" s="57">
        <f t="shared" si="51"/>
        <v>48.554496900000004</v>
      </c>
      <c r="M96" s="57">
        <f t="shared" si="51"/>
        <v>43.437737145</v>
      </c>
      <c r="N96" s="57">
        <f t="shared" si="51"/>
        <v>44.086061579999999</v>
      </c>
      <c r="O96" s="57">
        <f>SUM(O93+O72)*(1+O95)</f>
        <v>40.621776999999994</v>
      </c>
      <c r="P96" s="57">
        <f>SUM(P93+P72)*(1+P95)</f>
        <v>42.24664808</v>
      </c>
      <c r="Q96" s="57">
        <f>SUM(Q93+Q72)*(1+Q95)</f>
        <v>41.804785074000009</v>
      </c>
      <c r="R96" s="58">
        <f>SUM(R93+R72)*(1+R95)</f>
        <v>29.703399921000003</v>
      </c>
      <c r="S96" s="110"/>
      <c r="T96" s="100" t="str">
        <f>'50% Exceedance Baseline'!T96</f>
        <v>Total of all upstream input flow adjusted for streambed loss or gain</v>
      </c>
    </row>
    <row r="97" spans="2:22" s="12" customFormat="1" ht="15.75" thickBot="1" x14ac:dyDescent="0.3">
      <c r="B97" s="71" t="s">
        <v>120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110"/>
      <c r="T97" s="100"/>
    </row>
    <row r="98" spans="2:22" s="4" customFormat="1" ht="15.75" thickBot="1" x14ac:dyDescent="0.3">
      <c r="B98" s="24" t="s">
        <v>55</v>
      </c>
      <c r="C98" s="123">
        <f>'50% Exceedance Baseline'!C98</f>
        <v>340.65885420000001</v>
      </c>
      <c r="D98" s="123">
        <f>'50% Exceedance Baseline'!D98</f>
        <v>277.40364579999999</v>
      </c>
      <c r="E98" s="123">
        <f>'50% Exceedance Baseline'!E98</f>
        <v>259.20572920000001</v>
      </c>
      <c r="F98" s="123">
        <f>'50% Exceedance Baseline'!F98</f>
        <v>202.00260420000001</v>
      </c>
      <c r="G98" s="123">
        <f>'50% Exceedance Baseline'!G98</f>
        <v>75.381249999999994</v>
      </c>
      <c r="H98" s="123">
        <f>'50% Exceedance Baseline'!H98</f>
        <v>40.186197919999998</v>
      </c>
      <c r="I98" s="123">
        <f>'50% Exceedance Baseline'!I98</f>
        <v>30.301562499999999</v>
      </c>
      <c r="J98" s="123">
        <f>'50% Exceedance Baseline'!J98</f>
        <v>34.500260419999996</v>
      </c>
      <c r="K98" s="123">
        <f>'50% Exceedance Baseline'!K98</f>
        <v>34.303645830000001</v>
      </c>
      <c r="L98" s="123">
        <f>'50% Exceedance Baseline'!L98</f>
        <v>35.037500000000001</v>
      </c>
      <c r="M98" s="123">
        <f>'50% Exceedance Baseline'!M98</f>
        <v>42.868749999999999</v>
      </c>
      <c r="N98" s="123">
        <f>'50% Exceedance Baseline'!N98</f>
        <v>48.903906249999999</v>
      </c>
      <c r="O98" s="123">
        <f>'50% Exceedance Baseline'!O98</f>
        <v>28.677604169999999</v>
      </c>
      <c r="P98" s="123">
        <f>'50% Exceedance Baseline'!P98</f>
        <v>23.118749999999999</v>
      </c>
      <c r="Q98" s="123">
        <f>'50% Exceedance Baseline'!Q98</f>
        <v>23.54322917</v>
      </c>
      <c r="R98" s="123">
        <f>'50% Exceedance Baseline'!R98</f>
        <v>36.065624999999997</v>
      </c>
      <c r="S98" s="19"/>
      <c r="T98" s="100" t="str">
        <f>'50% Exceedance Baseline'!T98</f>
        <v>Median flow data at S-109 gage (2002-2016)</v>
      </c>
      <c r="U98" s="131"/>
    </row>
    <row r="99" spans="2:22" x14ac:dyDescent="0.25">
      <c r="B99" s="47" t="s">
        <v>39</v>
      </c>
      <c r="C99" s="48">
        <f>(C98+C96)+C97</f>
        <v>340.65885420000001</v>
      </c>
      <c r="D99" s="48">
        <f t="shared" ref="D99:R99" si="52">(D98+D96)+D97</f>
        <v>277.40364579999999</v>
      </c>
      <c r="E99" s="48">
        <f t="shared" si="52"/>
        <v>259.20572920000001</v>
      </c>
      <c r="F99" s="48">
        <f t="shared" si="52"/>
        <v>230.912229</v>
      </c>
      <c r="G99" s="48">
        <f t="shared" si="52"/>
        <v>161.40501159999999</v>
      </c>
      <c r="H99" s="48">
        <f t="shared" si="52"/>
        <v>100.12078591999999</v>
      </c>
      <c r="I99" s="48">
        <f t="shared" si="52"/>
        <v>79.697409860000008</v>
      </c>
      <c r="J99" s="48">
        <f t="shared" si="52"/>
        <v>83.200391620000005</v>
      </c>
      <c r="K99" s="48">
        <f t="shared" si="52"/>
        <v>80.889717179999991</v>
      </c>
      <c r="L99" s="48">
        <f t="shared" si="52"/>
        <v>83.591996899999998</v>
      </c>
      <c r="M99" s="48">
        <f t="shared" si="52"/>
        <v>86.306487145000006</v>
      </c>
      <c r="N99" s="48">
        <f t="shared" si="52"/>
        <v>92.989967829999998</v>
      </c>
      <c r="O99" s="48">
        <f t="shared" si="52"/>
        <v>69.29938116999999</v>
      </c>
      <c r="P99" s="48">
        <f t="shared" si="52"/>
        <v>65.365398080000006</v>
      </c>
      <c r="Q99" s="133">
        <f>(Q98+Q96)+Q97</f>
        <v>65.348014244000012</v>
      </c>
      <c r="R99" s="49">
        <f t="shared" si="52"/>
        <v>65.769024920999996</v>
      </c>
      <c r="S99" s="111"/>
      <c r="T99" s="100" t="str">
        <f>'50% Exceedance Baseline'!T99</f>
        <v>Flow gage data plus cumulative inputs adjusted for streambed loss or gain</v>
      </c>
    </row>
    <row r="100" spans="2:22" x14ac:dyDescent="0.25">
      <c r="B100" s="10" t="s">
        <v>8</v>
      </c>
      <c r="C100" s="8">
        <f>$C$16</f>
        <v>150</v>
      </c>
      <c r="D100" s="8">
        <f>$D$16</f>
        <v>150</v>
      </c>
      <c r="E100" s="8">
        <f>$E$16</f>
        <v>150</v>
      </c>
      <c r="F100" s="8">
        <f>$F$16</f>
        <v>150</v>
      </c>
      <c r="G100" s="8">
        <f>$G$16</f>
        <v>150</v>
      </c>
      <c r="H100" s="8">
        <f>$H$16</f>
        <v>100</v>
      </c>
      <c r="I100" s="8">
        <f>$I$16</f>
        <v>65</v>
      </c>
      <c r="J100" s="8">
        <f>$J$16</f>
        <v>65</v>
      </c>
      <c r="K100" s="8">
        <f>$K$16</f>
        <v>65</v>
      </c>
      <c r="L100" s="8">
        <f>$L$16</f>
        <v>65</v>
      </c>
      <c r="M100" s="8">
        <f>$M$16</f>
        <v>65</v>
      </c>
      <c r="N100" s="8">
        <f>$N$16</f>
        <v>65</v>
      </c>
      <c r="O100" s="8">
        <f>$O$16</f>
        <v>65</v>
      </c>
      <c r="P100" s="8">
        <f>$P$16</f>
        <v>65</v>
      </c>
      <c r="Q100" s="8">
        <f>$Q$16</f>
        <v>65</v>
      </c>
      <c r="R100" s="9">
        <f>$R$16</f>
        <v>65</v>
      </c>
      <c r="S100" s="112"/>
      <c r="T100" s="100" t="str">
        <f>'50% Exceedance Baseline'!T100</f>
        <v>Target flows</v>
      </c>
    </row>
    <row r="101" spans="2:22" ht="15.75" thickBot="1" x14ac:dyDescent="0.3">
      <c r="B101" s="37" t="s">
        <v>13</v>
      </c>
      <c r="C101" s="38">
        <f>IF(C99&gt;C100,0,(C100-C99)*-1)</f>
        <v>0</v>
      </c>
      <c r="D101" s="38">
        <f t="shared" ref="D101:E101" si="53">IF(D99&gt;D100,0,(D100-D99)*-1)</f>
        <v>0</v>
      </c>
      <c r="E101" s="38">
        <f t="shared" si="53"/>
        <v>0</v>
      </c>
      <c r="F101" s="38">
        <f>IF(F99&gt;F100,0,(F100-F99)*-1)</f>
        <v>0</v>
      </c>
      <c r="G101" s="38">
        <f t="shared" ref="G101:N101" si="54">IF(G99&gt;G100,0,(G100-G99)*-1)</f>
        <v>0</v>
      </c>
      <c r="H101" s="38">
        <f t="shared" si="54"/>
        <v>0</v>
      </c>
      <c r="I101" s="38">
        <f t="shared" si="54"/>
        <v>0</v>
      </c>
      <c r="J101" s="38">
        <f t="shared" si="54"/>
        <v>0</v>
      </c>
      <c r="K101" s="38">
        <f t="shared" si="54"/>
        <v>0</v>
      </c>
      <c r="L101" s="38">
        <f t="shared" si="54"/>
        <v>0</v>
      </c>
      <c r="M101" s="38">
        <f t="shared" si="54"/>
        <v>0</v>
      </c>
      <c r="N101" s="38">
        <f t="shared" si="54"/>
        <v>0</v>
      </c>
      <c r="O101" s="38">
        <f>IF(O99&gt;O100,0,(O100-O99)*-1)</f>
        <v>0</v>
      </c>
      <c r="P101" s="38">
        <f>IF(P99&gt;P100,0,(P100-P99)*-1)</f>
        <v>0</v>
      </c>
      <c r="Q101" s="38">
        <f>IF(Q99&gt;Q100,0,(Q100-Q99)*-1)</f>
        <v>0</v>
      </c>
      <c r="R101" s="39">
        <f>IF(R99&gt;R100,0,(R100-R99)*-1)</f>
        <v>0</v>
      </c>
      <c r="S101" s="105"/>
      <c r="T101" s="100" t="str">
        <f>'50% Exceedance Baseline'!T101</f>
        <v>Deficit between target flows and flow gage data plus total adjusted inputs</v>
      </c>
    </row>
    <row r="102" spans="2:22" x14ac:dyDescent="0.25">
      <c r="B102" s="40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105"/>
    </row>
    <row r="103" spans="2:22" x14ac:dyDescent="0.25">
      <c r="B103" s="35" t="s">
        <v>101</v>
      </c>
      <c r="C103" s="34">
        <f>C119-C98</f>
        <v>140.34114579999999</v>
      </c>
      <c r="D103" s="34">
        <f t="shared" ref="D103:N103" si="55">D119-D98</f>
        <v>87.096354200000007</v>
      </c>
      <c r="E103" s="34">
        <f t="shared" si="55"/>
        <v>112.29427079999999</v>
      </c>
      <c r="F103" s="34">
        <f t="shared" si="55"/>
        <v>13.997395799999993</v>
      </c>
      <c r="G103" s="34">
        <f t="shared" si="55"/>
        <v>40.618750000000006</v>
      </c>
      <c r="H103" s="34">
        <f t="shared" si="55"/>
        <v>29.613802079999999</v>
      </c>
      <c r="I103" s="34">
        <f t="shared" si="55"/>
        <v>8.9984374999999979</v>
      </c>
      <c r="J103" s="34">
        <f t="shared" si="55"/>
        <v>3.6997395800000064</v>
      </c>
      <c r="K103" s="34">
        <f t="shared" si="55"/>
        <v>4.5463541700000007</v>
      </c>
      <c r="L103" s="34">
        <f t="shared" si="55"/>
        <v>7.3624999999999972</v>
      </c>
      <c r="M103" s="34">
        <f t="shared" si="55"/>
        <v>8.03125</v>
      </c>
      <c r="N103" s="34">
        <f t="shared" si="55"/>
        <v>9.0460937500000043</v>
      </c>
      <c r="O103" s="34">
        <f>O119-O98</f>
        <v>16.322395830000001</v>
      </c>
      <c r="P103" s="34">
        <f>P119-P98</f>
        <v>25.581250000000004</v>
      </c>
      <c r="Q103" s="34">
        <f>Q119-Q98</f>
        <v>37.456770829999996</v>
      </c>
      <c r="R103" s="34">
        <f>R119-R98</f>
        <v>56.634375000000006</v>
      </c>
      <c r="S103" s="63"/>
      <c r="T103" s="100" t="str">
        <f>'50% Exceedance Baseline'!T103</f>
        <v>Detour gaging data minus Beet Road gaging data</v>
      </c>
    </row>
    <row r="104" spans="2:22" s="12" customFormat="1" x14ac:dyDescent="0.25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100"/>
      <c r="U104" s="13"/>
    </row>
    <row r="105" spans="2:22" ht="15.75" thickBot="1" x14ac:dyDescent="0.3">
      <c r="B105" s="64" t="s">
        <v>65</v>
      </c>
      <c r="C105" s="22">
        <f>IF(C109&gt;0,10,0)</f>
        <v>0</v>
      </c>
      <c r="D105" s="22">
        <f t="shared" ref="D105:R105" si="56">IF(D109&gt;0,10,0)</f>
        <v>0</v>
      </c>
      <c r="E105" s="22">
        <f t="shared" si="56"/>
        <v>0</v>
      </c>
      <c r="F105" s="22">
        <f t="shared" si="56"/>
        <v>0</v>
      </c>
      <c r="G105" s="22">
        <f t="shared" si="56"/>
        <v>0</v>
      </c>
      <c r="H105" s="22">
        <f t="shared" si="56"/>
        <v>0</v>
      </c>
      <c r="I105" s="22">
        <f t="shared" si="56"/>
        <v>0</v>
      </c>
      <c r="J105" s="22">
        <f t="shared" si="56"/>
        <v>0</v>
      </c>
      <c r="K105" s="22">
        <f t="shared" si="56"/>
        <v>0</v>
      </c>
      <c r="L105" s="22">
        <f t="shared" si="56"/>
        <v>0</v>
      </c>
      <c r="M105" s="22">
        <f t="shared" si="56"/>
        <v>0</v>
      </c>
      <c r="N105" s="22">
        <f t="shared" si="56"/>
        <v>0</v>
      </c>
      <c r="O105" s="22">
        <f t="shared" si="56"/>
        <v>0</v>
      </c>
      <c r="P105" s="22">
        <f t="shared" si="56"/>
        <v>0</v>
      </c>
      <c r="Q105" s="22">
        <f t="shared" si="56"/>
        <v>0</v>
      </c>
      <c r="R105" s="22">
        <f t="shared" si="56"/>
        <v>0</v>
      </c>
      <c r="S105" s="110"/>
      <c r="T105" s="101" t="s">
        <v>118</v>
      </c>
      <c r="U105" s="139">
        <f>SUM(C105:R105)*15*1.9835</f>
        <v>0</v>
      </c>
      <c r="V105" s="11" t="s">
        <v>122</v>
      </c>
    </row>
    <row r="106" spans="2:22" ht="15.75" thickBot="1" x14ac:dyDescent="0.3">
      <c r="B106" s="72" t="s">
        <v>119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105"/>
      <c r="T106" s="100" t="str">
        <f>'50% Exceedance Baseline'!T106</f>
        <v>Flow input between Mgt. Pt. 4 and Mgt. Pt. 5</v>
      </c>
    </row>
    <row r="107" spans="2:22" x14ac:dyDescent="0.25">
      <c r="B107" s="79" t="s">
        <v>7</v>
      </c>
      <c r="C107" s="16">
        <f>IF(C121&gt;C120,((C121-C120)*-1),((C120-C121)))</f>
        <v>331</v>
      </c>
      <c r="D107" s="16">
        <f t="shared" ref="D107:E107" si="57">IF(D121&gt;D120,((D121-D120)*-1),((D120-D121)))</f>
        <v>214.5</v>
      </c>
      <c r="E107" s="16">
        <f t="shared" si="57"/>
        <v>221.5</v>
      </c>
      <c r="F107" s="16">
        <f>IF(F121&gt;F120,((F121-F120)*-1),((F120-F121)))</f>
        <v>95.632365419999985</v>
      </c>
      <c r="G107" s="16">
        <f>IF(G121&gt;G120,((G121-G120)*-1),((G120-G121)))</f>
        <v>54.174355639999987</v>
      </c>
      <c r="H107" s="16">
        <f t="shared" ref="H107:R107" si="58">IF(H121&gt;H120,((H121-H120)*-1),((H120-H121)))</f>
        <v>31.232952699999998</v>
      </c>
      <c r="I107" s="16">
        <f t="shared" si="58"/>
        <v>25.474097864960001</v>
      </c>
      <c r="J107" s="16">
        <f t="shared" si="58"/>
        <v>23.653335923200004</v>
      </c>
      <c r="K107" s="16">
        <f t="shared" si="58"/>
        <v>17.594320997650001</v>
      </c>
      <c r="L107" s="16">
        <f t="shared" si="58"/>
        <v>22.99267258910001</v>
      </c>
      <c r="M107" s="16">
        <f t="shared" si="58"/>
        <v>28.946797510695006</v>
      </c>
      <c r="N107" s="16">
        <f t="shared" si="58"/>
        <v>36.639287025779993</v>
      </c>
      <c r="O107" s="16">
        <f t="shared" si="58"/>
        <v>26.71504354999999</v>
      </c>
      <c r="P107" s="16">
        <f t="shared" si="58"/>
        <v>32.283645291999989</v>
      </c>
      <c r="Q107" s="16">
        <f t="shared" si="58"/>
        <v>32.871820435268006</v>
      </c>
      <c r="R107" s="14">
        <f t="shared" si="58"/>
        <v>53.898398730322</v>
      </c>
      <c r="S107" s="18"/>
      <c r="T107" s="100" t="str">
        <f>'50% Exceedance Baseline'!T107</f>
        <v>Flow target surplus or deficit after input</v>
      </c>
    </row>
    <row r="108" spans="2:22" ht="15.75" thickBot="1" x14ac:dyDescent="0.3">
      <c r="B108" s="80"/>
      <c r="C108" s="18"/>
      <c r="D108" s="18"/>
      <c r="E108" s="18"/>
      <c r="F108" s="18"/>
      <c r="G108" s="18">
        <v>25</v>
      </c>
      <c r="H108" s="18">
        <v>20</v>
      </c>
      <c r="I108" s="18"/>
      <c r="J108" s="18"/>
      <c r="K108" s="18"/>
      <c r="L108" s="18"/>
      <c r="M108" s="18"/>
      <c r="N108" s="18"/>
      <c r="O108" s="18">
        <v>22</v>
      </c>
      <c r="P108" s="18">
        <v>26</v>
      </c>
      <c r="Q108" s="18"/>
      <c r="R108" s="17"/>
      <c r="S108" s="18"/>
    </row>
    <row r="109" spans="2:22" ht="15.75" thickBot="1" x14ac:dyDescent="0.3">
      <c r="B109" s="73" t="s">
        <v>116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105"/>
      <c r="T109" s="100" t="str">
        <f>'50% Exceedance Baseline'!T109</f>
        <v>Flow input between Mgt. Pt. 4 and Mgt. Pt. 5</v>
      </c>
    </row>
    <row r="110" spans="2:22" x14ac:dyDescent="0.25">
      <c r="B110" s="79" t="s">
        <v>7</v>
      </c>
      <c r="C110" s="16">
        <f>IF(C121&gt;C120,((C121-C120)*-1),((C120-C121)))</f>
        <v>331</v>
      </c>
      <c r="D110" s="16">
        <f t="shared" ref="D110:R110" si="59">IF(D121&gt;D120,((D121-D120)*-1),((D120-D121)))</f>
        <v>214.5</v>
      </c>
      <c r="E110" s="16">
        <f t="shared" si="59"/>
        <v>221.5</v>
      </c>
      <c r="F110" s="16">
        <f t="shared" si="59"/>
        <v>95.632365419999985</v>
      </c>
      <c r="G110" s="16">
        <f t="shared" si="59"/>
        <v>54.174355639999987</v>
      </c>
      <c r="H110" s="16">
        <f t="shared" si="59"/>
        <v>31.232952699999998</v>
      </c>
      <c r="I110" s="16">
        <f t="shared" si="59"/>
        <v>25.474097864960001</v>
      </c>
      <c r="J110" s="16">
        <f t="shared" si="59"/>
        <v>23.653335923200004</v>
      </c>
      <c r="K110" s="16">
        <f t="shared" si="59"/>
        <v>17.594320997650001</v>
      </c>
      <c r="L110" s="16">
        <f t="shared" si="59"/>
        <v>22.99267258910001</v>
      </c>
      <c r="M110" s="16">
        <f t="shared" si="59"/>
        <v>28.946797510695006</v>
      </c>
      <c r="N110" s="16">
        <f t="shared" si="59"/>
        <v>36.639287025779993</v>
      </c>
      <c r="O110" s="16">
        <f t="shared" si="59"/>
        <v>26.71504354999999</v>
      </c>
      <c r="P110" s="16">
        <f t="shared" si="59"/>
        <v>32.283645291999989</v>
      </c>
      <c r="Q110" s="16">
        <f t="shared" si="59"/>
        <v>32.871820435268006</v>
      </c>
      <c r="R110" s="14">
        <f t="shared" si="59"/>
        <v>53.898398730322</v>
      </c>
      <c r="S110" s="18"/>
      <c r="T110" s="100" t="str">
        <f>'50% Exceedance Baseline'!T110</f>
        <v>Flow target surplus or deficit after input</v>
      </c>
    </row>
    <row r="111" spans="2:22" s="4" customFormat="1" ht="15.75" thickBot="1" x14ac:dyDescent="0.3">
      <c r="B111" s="135" t="s">
        <v>115</v>
      </c>
      <c r="C111" s="136">
        <f t="shared" ref="C111:R111" si="60">C109*15*1.9835</f>
        <v>0</v>
      </c>
      <c r="D111" s="136">
        <f t="shared" si="60"/>
        <v>0</v>
      </c>
      <c r="E111" s="136">
        <f t="shared" si="60"/>
        <v>0</v>
      </c>
      <c r="F111" s="136">
        <f t="shared" si="60"/>
        <v>0</v>
      </c>
      <c r="G111" s="136">
        <f>G109*15*1.9835</f>
        <v>0</v>
      </c>
      <c r="H111" s="136">
        <f t="shared" si="60"/>
        <v>0</v>
      </c>
      <c r="I111" s="136">
        <f t="shared" si="60"/>
        <v>0</v>
      </c>
      <c r="J111" s="136">
        <f t="shared" si="60"/>
        <v>0</v>
      </c>
      <c r="K111" s="136">
        <f t="shared" si="60"/>
        <v>0</v>
      </c>
      <c r="L111" s="136">
        <f t="shared" si="60"/>
        <v>0</v>
      </c>
      <c r="M111" s="136">
        <f t="shared" si="60"/>
        <v>0</v>
      </c>
      <c r="N111" s="136">
        <f t="shared" si="60"/>
        <v>0</v>
      </c>
      <c r="O111" s="136">
        <f t="shared" si="60"/>
        <v>0</v>
      </c>
      <c r="P111" s="136">
        <f t="shared" si="60"/>
        <v>0</v>
      </c>
      <c r="Q111" s="136">
        <f t="shared" si="60"/>
        <v>0</v>
      </c>
      <c r="R111" s="137">
        <f t="shared" si="60"/>
        <v>0</v>
      </c>
      <c r="S111" s="136"/>
      <c r="T111" s="101" t="s">
        <v>118</v>
      </c>
      <c r="U111" s="139">
        <f>SUM(C111:R111)</f>
        <v>0</v>
      </c>
    </row>
    <row r="112" spans="2:22" ht="15.75" thickBot="1" x14ac:dyDescent="0.3">
      <c r="B112" s="73" t="s">
        <v>60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121">
        <v>0</v>
      </c>
      <c r="R112" s="46">
        <v>0</v>
      </c>
      <c r="S112" s="105"/>
      <c r="T112" s="100" t="str">
        <f>'50% Exceedance Baseline'!T112</f>
        <v>Flow input between Mgt. Pt. 4 and Mgt. Pt. 5</v>
      </c>
    </row>
    <row r="113" spans="2:22" x14ac:dyDescent="0.25">
      <c r="B113" s="79" t="s">
        <v>7</v>
      </c>
      <c r="C113" s="16">
        <f>IF(C121&gt;C120,((C121-C120)*-1),((C120-C121)))</f>
        <v>331</v>
      </c>
      <c r="D113" s="16">
        <f t="shared" ref="D113" si="61">IF(D121&gt;D120,((D121-D120)*-1),((D120-D121)))</f>
        <v>214.5</v>
      </c>
      <c r="E113" s="16">
        <f>IF(E121&gt;E120,((E121-E120)*-1),((E120-E121)))</f>
        <v>221.5</v>
      </c>
      <c r="F113" s="16">
        <f t="shared" ref="F113:R113" si="62">IF(F121&gt;F120,((F121-F120)*-1),((F120-F121)))</f>
        <v>95.632365419999985</v>
      </c>
      <c r="G113" s="16">
        <f t="shared" si="62"/>
        <v>54.174355639999987</v>
      </c>
      <c r="H113" s="16">
        <f t="shared" si="62"/>
        <v>31.232952699999998</v>
      </c>
      <c r="I113" s="16">
        <f t="shared" si="62"/>
        <v>25.474097864960001</v>
      </c>
      <c r="J113" s="16">
        <f t="shared" si="62"/>
        <v>23.653335923200004</v>
      </c>
      <c r="K113" s="16">
        <f t="shared" si="62"/>
        <v>17.594320997650001</v>
      </c>
      <c r="L113" s="16">
        <f t="shared" si="62"/>
        <v>22.99267258910001</v>
      </c>
      <c r="M113" s="16">
        <f t="shared" si="62"/>
        <v>28.946797510695006</v>
      </c>
      <c r="N113" s="16">
        <f t="shared" si="62"/>
        <v>36.639287025779993</v>
      </c>
      <c r="O113" s="16">
        <f t="shared" si="62"/>
        <v>26.71504354999999</v>
      </c>
      <c r="P113" s="16">
        <f t="shared" si="62"/>
        <v>32.283645291999989</v>
      </c>
      <c r="Q113" s="16">
        <f t="shared" si="62"/>
        <v>32.871820435268006</v>
      </c>
      <c r="R113" s="14">
        <f t="shared" si="62"/>
        <v>53.898398730322</v>
      </c>
      <c r="S113" s="18"/>
      <c r="T113" s="100" t="str">
        <f>'50% Exceedance Baseline'!T113</f>
        <v>Flow target surplus or deficit after input</v>
      </c>
    </row>
    <row r="114" spans="2:22" s="11" customFormat="1" x14ac:dyDescent="0.25">
      <c r="B114" s="81" t="s">
        <v>24</v>
      </c>
      <c r="C114" s="18">
        <f>SUM(C106+C109+C112)</f>
        <v>0</v>
      </c>
      <c r="D114" s="18">
        <f t="shared" ref="D114:F114" si="63">SUM(D106+D109+D112)</f>
        <v>0</v>
      </c>
      <c r="E114" s="18">
        <f t="shared" si="63"/>
        <v>0</v>
      </c>
      <c r="F114" s="18">
        <f t="shared" si="63"/>
        <v>0</v>
      </c>
      <c r="G114" s="18">
        <f>SUM(G106+G109+G112)</f>
        <v>0</v>
      </c>
      <c r="H114" s="18">
        <f t="shared" ref="H114:N114" si="64">SUM(H106+H109+H112)</f>
        <v>0</v>
      </c>
      <c r="I114" s="18">
        <f t="shared" si="64"/>
        <v>0</v>
      </c>
      <c r="J114" s="18">
        <f t="shared" si="64"/>
        <v>0</v>
      </c>
      <c r="K114" s="18">
        <f t="shared" si="64"/>
        <v>0</v>
      </c>
      <c r="L114" s="18">
        <f t="shared" si="64"/>
        <v>0</v>
      </c>
      <c r="M114" s="18">
        <f t="shared" si="64"/>
        <v>0</v>
      </c>
      <c r="N114" s="18">
        <f t="shared" si="64"/>
        <v>0</v>
      </c>
      <c r="O114" s="18">
        <f>SUM(O106+O109+O112)</f>
        <v>0</v>
      </c>
      <c r="P114" s="18">
        <f>SUM(P106+P109+P112)</f>
        <v>0</v>
      </c>
      <c r="Q114" s="18">
        <f>SUM(Q106+Q109+Q112)</f>
        <v>0</v>
      </c>
      <c r="R114" s="17">
        <f>SUM(R106+R109+R112)</f>
        <v>0</v>
      </c>
      <c r="S114" s="18"/>
      <c r="T114" s="100" t="str">
        <f>'50% Exceedance Baseline'!T114</f>
        <v>Subtotal of all inputs in Beet Road to Detour Road reach</v>
      </c>
      <c r="U114" s="8"/>
    </row>
    <row r="115" spans="2:22" ht="15.75" thickBot="1" x14ac:dyDescent="0.3">
      <c r="B115" s="80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7"/>
      <c r="S115" s="18"/>
    </row>
    <row r="116" spans="2:22" s="64" customFormat="1" ht="15.75" thickBot="1" x14ac:dyDescent="0.3">
      <c r="B116" s="70" t="s">
        <v>69</v>
      </c>
      <c r="C116" s="82">
        <f>'50% Exceedance Baseline'!C116</f>
        <v>2.5000000000000001E-2</v>
      </c>
      <c r="D116" s="82">
        <f>'50% Exceedance Baseline'!D116</f>
        <v>2.5000000000000001E-2</v>
      </c>
      <c r="E116" s="82">
        <f>'50% Exceedance Baseline'!E116</f>
        <v>2.5000000000000001E-2</v>
      </c>
      <c r="F116" s="82">
        <f>'50% Exceedance Baseline'!F116</f>
        <v>2.5000000000000001E-2</v>
      </c>
      <c r="G116" s="82">
        <f>'50% Exceedance Baseline'!G116</f>
        <v>2.5000000000000001E-2</v>
      </c>
      <c r="H116" s="82">
        <f>'50% Exceedance Baseline'!H116</f>
        <v>2.5000000000000001E-2</v>
      </c>
      <c r="I116" s="82">
        <f>'50% Exceedance Baseline'!I116</f>
        <v>3.5999999999999997E-2</v>
      </c>
      <c r="J116" s="82">
        <f>'50% Exceedance Baseline'!J116</f>
        <v>3.5999999999999997E-2</v>
      </c>
      <c r="K116" s="69">
        <f>'50% Exceedance Baseline'!K116</f>
        <v>-6.0999999999999999E-2</v>
      </c>
      <c r="L116" s="69">
        <f>'50% Exceedance Baseline'!L116</f>
        <v>-6.0999999999999999E-2</v>
      </c>
      <c r="M116" s="69">
        <f>'50% Exceedance Baseline'!M116</f>
        <v>-8.9999999999999993E-3</v>
      </c>
      <c r="N116" s="69">
        <f>'50% Exceedance Baseline'!N116</f>
        <v>-8.9999999999999993E-3</v>
      </c>
      <c r="O116" s="69">
        <f>'50% Exceedance Baseline'!O116</f>
        <v>0.15</v>
      </c>
      <c r="P116" s="69">
        <f>'50% Exceedance Baseline'!P116</f>
        <v>0.15</v>
      </c>
      <c r="Q116" s="69">
        <f>'50% Exceedance Baseline'!Q116</f>
        <v>-0.11799999999999999</v>
      </c>
      <c r="R116" s="69">
        <f>'50% Exceedance Baseline'!R116</f>
        <v>-0.11799999999999999</v>
      </c>
      <c r="S116" s="106"/>
      <c r="T116" s="100" t="str">
        <f>'50% Exceedance Baseline'!T116</f>
        <v>Percentage total inputs lost or gained due to streambed hydrology (2002-2015 WWBWC seepage data)</v>
      </c>
      <c r="U116" s="83"/>
    </row>
    <row r="117" spans="2:22" s="26" customFormat="1" x14ac:dyDescent="0.25">
      <c r="B117" s="84" t="s">
        <v>20</v>
      </c>
      <c r="C117" s="57">
        <f>SUM(C114+C96)*(1+C116)</f>
        <v>0</v>
      </c>
      <c r="D117" s="57">
        <f t="shared" ref="D117:N117" si="65">SUM(D114+D96)*(1+D116)</f>
        <v>0</v>
      </c>
      <c r="E117" s="57">
        <f t="shared" si="65"/>
        <v>0</v>
      </c>
      <c r="F117" s="57">
        <f t="shared" si="65"/>
        <v>29.632365419999992</v>
      </c>
      <c r="G117" s="57">
        <f t="shared" si="65"/>
        <v>88.174355639999987</v>
      </c>
      <c r="H117" s="57">
        <f t="shared" si="65"/>
        <v>61.432952699999987</v>
      </c>
      <c r="I117" s="57">
        <f t="shared" si="65"/>
        <v>51.174097864960004</v>
      </c>
      <c r="J117" s="57">
        <f t="shared" si="65"/>
        <v>50.453335923200001</v>
      </c>
      <c r="K117" s="57">
        <f t="shared" si="65"/>
        <v>43.74432099765</v>
      </c>
      <c r="L117" s="57">
        <f t="shared" si="65"/>
        <v>45.592672589100005</v>
      </c>
      <c r="M117" s="57">
        <f t="shared" si="65"/>
        <v>43.046797510695001</v>
      </c>
      <c r="N117" s="57">
        <f t="shared" si="65"/>
        <v>43.689287025779997</v>
      </c>
      <c r="O117" s="57">
        <f>SUM(O114+O96)*(1+O116)</f>
        <v>46.71504354999999</v>
      </c>
      <c r="P117" s="122">
        <f>SUM(P114+P96)*(1+P116)</f>
        <v>48.583645291999993</v>
      </c>
      <c r="Q117" s="57">
        <f>SUM(Q114+Q96)*(1+Q116)</f>
        <v>36.871820435268006</v>
      </c>
      <c r="R117" s="68">
        <f>SUM(R114+R96)*(1+R116)</f>
        <v>26.198398730322001</v>
      </c>
      <c r="S117" s="110"/>
      <c r="T117" s="100" t="str">
        <f>'50% Exceedance Baseline'!T117</f>
        <v>Total of all upstream input flow adjusted for streambed loss or gain</v>
      </c>
      <c r="U117" s="25"/>
    </row>
    <row r="118" spans="2:22" ht="15.75" thickBot="1" x14ac:dyDescent="0.3">
      <c r="B118" s="7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3"/>
      <c r="S118" s="110"/>
    </row>
    <row r="119" spans="2:22" ht="16.5" thickBot="1" x14ac:dyDescent="0.3">
      <c r="B119" s="41" t="s">
        <v>56</v>
      </c>
      <c r="C119" s="123">
        <v>481</v>
      </c>
      <c r="D119" s="123">
        <v>364.5</v>
      </c>
      <c r="E119" s="123">
        <v>371.5</v>
      </c>
      <c r="F119" s="123">
        <v>216</v>
      </c>
      <c r="G119" s="123">
        <v>116</v>
      </c>
      <c r="H119" s="123">
        <v>69.8</v>
      </c>
      <c r="I119" s="123">
        <v>39.299999999999997</v>
      </c>
      <c r="J119" s="123">
        <v>38.200000000000003</v>
      </c>
      <c r="K119" s="123">
        <v>38.85</v>
      </c>
      <c r="L119" s="123">
        <v>42.4</v>
      </c>
      <c r="M119" s="123">
        <v>50.9</v>
      </c>
      <c r="N119" s="123">
        <v>57.95</v>
      </c>
      <c r="O119" s="123">
        <v>45</v>
      </c>
      <c r="P119" s="123">
        <v>48.7</v>
      </c>
      <c r="Q119" s="123">
        <v>61</v>
      </c>
      <c r="R119" s="123">
        <v>92.7</v>
      </c>
      <c r="S119" s="109"/>
      <c r="T119" s="100" t="str">
        <f>'50% Exceedance Baseline'!T119</f>
        <v>Median flow data at S-110 gage (2002-2016)</v>
      </c>
    </row>
    <row r="120" spans="2:22" x14ac:dyDescent="0.25">
      <c r="B120" s="47" t="s">
        <v>40</v>
      </c>
      <c r="C120" s="48">
        <f>C119+C117</f>
        <v>481</v>
      </c>
      <c r="D120" s="48">
        <f t="shared" ref="D120:E120" si="66">D119+D117</f>
        <v>364.5</v>
      </c>
      <c r="E120" s="48">
        <f t="shared" si="66"/>
        <v>371.5</v>
      </c>
      <c r="F120" s="48">
        <f>F119+F117</f>
        <v>245.63236541999999</v>
      </c>
      <c r="G120" s="48">
        <f t="shared" ref="G120:H120" si="67">G119+G117</f>
        <v>204.17435563999999</v>
      </c>
      <c r="H120" s="48">
        <f t="shared" si="67"/>
        <v>131.2329527</v>
      </c>
      <c r="I120" s="48">
        <f>I119+I117</f>
        <v>90.474097864960001</v>
      </c>
      <c r="J120" s="48">
        <f t="shared" ref="J120:N120" si="68">J119+J117</f>
        <v>88.653335923200004</v>
      </c>
      <c r="K120" s="48">
        <f t="shared" si="68"/>
        <v>82.594320997650001</v>
      </c>
      <c r="L120" s="48">
        <f t="shared" si="68"/>
        <v>87.99267258910001</v>
      </c>
      <c r="M120" s="48">
        <f t="shared" si="68"/>
        <v>93.946797510695006</v>
      </c>
      <c r="N120" s="48">
        <f t="shared" si="68"/>
        <v>101.63928702577999</v>
      </c>
      <c r="O120" s="48">
        <f>O119+O117</f>
        <v>91.71504354999999</v>
      </c>
      <c r="P120" s="48">
        <f>P119+P117</f>
        <v>97.283645291999989</v>
      </c>
      <c r="Q120" s="48">
        <f>Q119+Q117</f>
        <v>97.871820435268006</v>
      </c>
      <c r="R120" s="49">
        <f>R119+R117</f>
        <v>118.898398730322</v>
      </c>
      <c r="S120" s="111"/>
      <c r="T120" s="100" t="str">
        <f>'50% Exceedance Baseline'!T120</f>
        <v>Flow gage data plus cumulative inputs adjusted for streambed loss or gain</v>
      </c>
    </row>
    <row r="121" spans="2:22" x14ac:dyDescent="0.25">
      <c r="B121" s="10" t="s">
        <v>8</v>
      </c>
      <c r="C121" s="8">
        <f>$C$16</f>
        <v>150</v>
      </c>
      <c r="D121" s="8">
        <f>$D$16</f>
        <v>150</v>
      </c>
      <c r="E121" s="8">
        <f>$E$16</f>
        <v>150</v>
      </c>
      <c r="F121" s="8">
        <f>$F$16</f>
        <v>150</v>
      </c>
      <c r="G121" s="8">
        <f>$G$16</f>
        <v>150</v>
      </c>
      <c r="H121" s="8">
        <f>$H$16</f>
        <v>100</v>
      </c>
      <c r="I121" s="8">
        <f>$I$16</f>
        <v>65</v>
      </c>
      <c r="J121" s="8">
        <f>$J$16</f>
        <v>65</v>
      </c>
      <c r="K121" s="8">
        <f>$K$16</f>
        <v>65</v>
      </c>
      <c r="L121" s="8">
        <f>$L$16</f>
        <v>65</v>
      </c>
      <c r="M121" s="8">
        <f>$M$16</f>
        <v>65</v>
      </c>
      <c r="N121" s="8">
        <f>$N$16</f>
        <v>65</v>
      </c>
      <c r="O121" s="8">
        <f>$O$16</f>
        <v>65</v>
      </c>
      <c r="P121" s="8">
        <f>$P$16</f>
        <v>65</v>
      </c>
      <c r="Q121" s="8">
        <f>$Q$16</f>
        <v>65</v>
      </c>
      <c r="R121" s="9">
        <f>$R$16</f>
        <v>65</v>
      </c>
      <c r="S121" s="112"/>
      <c r="T121" s="100" t="str">
        <f>'50% Exceedance Baseline'!T121</f>
        <v>Target flows</v>
      </c>
    </row>
    <row r="122" spans="2:22" ht="15.75" thickBot="1" x14ac:dyDescent="0.3">
      <c r="B122" s="37" t="s">
        <v>14</v>
      </c>
      <c r="C122" s="38">
        <f>IF(C120&gt;C121,0,(C121-C120)*-1)</f>
        <v>0</v>
      </c>
      <c r="D122" s="38">
        <f t="shared" ref="D122:E122" si="69">IF(D120&gt;D121,0,(D121-D120)*-1)</f>
        <v>0</v>
      </c>
      <c r="E122" s="38">
        <f t="shared" si="69"/>
        <v>0</v>
      </c>
      <c r="F122" s="38">
        <f>IF(F120&gt;F121,0,(F121-F120)*-1)</f>
        <v>0</v>
      </c>
      <c r="G122" s="38">
        <f t="shared" ref="G122:N122" si="70">IF(G120&gt;G121,0,(G121-G120)*-1)</f>
        <v>0</v>
      </c>
      <c r="H122" s="38">
        <f>IF(H120&gt;H121,0,(H121-H120)*-1)</f>
        <v>0</v>
      </c>
      <c r="I122" s="38">
        <f t="shared" si="70"/>
        <v>0</v>
      </c>
      <c r="J122" s="38">
        <f t="shared" si="70"/>
        <v>0</v>
      </c>
      <c r="K122" s="38">
        <f t="shared" si="70"/>
        <v>0</v>
      </c>
      <c r="L122" s="38">
        <f t="shared" si="70"/>
        <v>0</v>
      </c>
      <c r="M122" s="38">
        <f t="shared" si="70"/>
        <v>0</v>
      </c>
      <c r="N122" s="38">
        <f t="shared" si="70"/>
        <v>0</v>
      </c>
      <c r="O122" s="38">
        <f>IF(O120&gt;O121,0,(O121-O120)*-1)</f>
        <v>0</v>
      </c>
      <c r="P122" s="38">
        <f>IF(P120&gt;P121,0,(P121-P120)*-1)</f>
        <v>0</v>
      </c>
      <c r="Q122" s="38">
        <f>IF(Q120&gt;Q121,0,(Q121-Q120)*-1)</f>
        <v>0</v>
      </c>
      <c r="R122" s="39">
        <f>IF(R120&gt;R121,0,(R121-R120)*-1)</f>
        <v>0</v>
      </c>
      <c r="S122" s="105"/>
      <c r="T122" s="100" t="str">
        <f>'50% Exceedance Baseline'!T122</f>
        <v>Deficit between target flows and flow gage data plus total adjusted inputs</v>
      </c>
    </row>
    <row r="123" spans="2:22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115"/>
    </row>
    <row r="124" spans="2:22" x14ac:dyDescent="0.25">
      <c r="B124" s="86" t="s">
        <v>18</v>
      </c>
      <c r="C124" s="99">
        <f>'50% Exceedance Baseline'!C124</f>
        <v>30</v>
      </c>
      <c r="D124" s="99">
        <f>'50% Exceedance Baseline'!D124</f>
        <v>30</v>
      </c>
      <c r="E124" s="99">
        <f>'50% Exceedance Baseline'!E124</f>
        <v>30</v>
      </c>
      <c r="F124" s="99">
        <f>'50% Exceedance Baseline'!F124</f>
        <v>30</v>
      </c>
      <c r="G124" s="99">
        <f>'50% Exceedance Baseline'!G124</f>
        <v>30</v>
      </c>
      <c r="H124" s="99">
        <f>'50% Exceedance Baseline'!H124</f>
        <v>30</v>
      </c>
      <c r="I124" s="99">
        <f>'50% Exceedance Baseline'!I124</f>
        <v>18</v>
      </c>
      <c r="J124" s="99">
        <f>'50% Exceedance Baseline'!J124</f>
        <v>22</v>
      </c>
      <c r="K124" s="99">
        <f>'50% Exceedance Baseline'!K124</f>
        <v>22</v>
      </c>
      <c r="L124" s="99">
        <f>'50% Exceedance Baseline'!L124</f>
        <v>22</v>
      </c>
      <c r="M124" s="99">
        <f>'50% Exceedance Baseline'!M124</f>
        <v>25</v>
      </c>
      <c r="N124" s="99">
        <f>'50% Exceedance Baseline'!N124</f>
        <v>25</v>
      </c>
      <c r="O124" s="99">
        <f>'50% Exceedance Baseline'!O124</f>
        <v>0</v>
      </c>
      <c r="P124" s="99">
        <f>'50% Exceedance Baseline'!P124</f>
        <v>0</v>
      </c>
      <c r="Q124" s="99">
        <f>'50% Exceedance Baseline'!Q124</f>
        <v>30</v>
      </c>
      <c r="R124" s="99">
        <f>'50% Exceedance Baseline'!R124</f>
        <v>30</v>
      </c>
      <c r="S124" s="116"/>
    </row>
    <row r="125" spans="2:22" x14ac:dyDescent="0.25">
      <c r="B125" s="86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117"/>
    </row>
    <row r="126" spans="2:22" ht="15.75" thickBot="1" x14ac:dyDescent="0.3">
      <c r="B126" s="65" t="s">
        <v>66</v>
      </c>
      <c r="C126" s="140">
        <f>IF(C127&gt;0,2,0)</f>
        <v>0</v>
      </c>
      <c r="D126" s="140">
        <f t="shared" ref="D126:R126" si="71">IF(D127&gt;0,2,0)</f>
        <v>0</v>
      </c>
      <c r="E126" s="140">
        <f t="shared" si="71"/>
        <v>0</v>
      </c>
      <c r="F126" s="140">
        <f t="shared" si="71"/>
        <v>2</v>
      </c>
      <c r="G126" s="140">
        <f t="shared" si="71"/>
        <v>2</v>
      </c>
      <c r="H126" s="140">
        <f t="shared" si="71"/>
        <v>2</v>
      </c>
      <c r="I126" s="140">
        <f t="shared" si="71"/>
        <v>0</v>
      </c>
      <c r="J126" s="140">
        <f t="shared" si="71"/>
        <v>0</v>
      </c>
      <c r="K126" s="140">
        <f t="shared" si="71"/>
        <v>0</v>
      </c>
      <c r="L126" s="140">
        <f t="shared" si="71"/>
        <v>0</v>
      </c>
      <c r="M126" s="140">
        <f t="shared" si="71"/>
        <v>0</v>
      </c>
      <c r="N126" s="140">
        <f t="shared" si="71"/>
        <v>0</v>
      </c>
      <c r="O126" s="140">
        <f t="shared" si="71"/>
        <v>0</v>
      </c>
      <c r="P126" s="140">
        <f t="shared" si="71"/>
        <v>0</v>
      </c>
      <c r="Q126" s="140">
        <f t="shared" si="71"/>
        <v>0</v>
      </c>
      <c r="R126" s="140">
        <f t="shared" si="71"/>
        <v>0</v>
      </c>
      <c r="S126" s="27"/>
      <c r="T126" s="101" t="s">
        <v>118</v>
      </c>
      <c r="U126" s="139">
        <f>SUM(C126:R126)*15*1.9835</f>
        <v>178.51500000000001</v>
      </c>
      <c r="V126" s="11" t="s">
        <v>124</v>
      </c>
    </row>
    <row r="127" spans="2:22" ht="15.75" thickBot="1" x14ac:dyDescent="0.3">
      <c r="B127" s="72" t="s">
        <v>113</v>
      </c>
      <c r="C127" s="46">
        <v>0</v>
      </c>
      <c r="D127" s="46">
        <v>0</v>
      </c>
      <c r="E127" s="46">
        <v>0</v>
      </c>
      <c r="F127" s="46">
        <v>30</v>
      </c>
      <c r="G127" s="46">
        <v>30</v>
      </c>
      <c r="H127" s="46">
        <v>9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105"/>
      <c r="T127" s="100" t="str">
        <f>'50% Exceedance Baseline'!T127</f>
        <v>Flow input between Mgt. Pt. 5 and Mgt. Pt. 6</v>
      </c>
    </row>
    <row r="128" spans="2:22" x14ac:dyDescent="0.25">
      <c r="B128" s="79" t="s">
        <v>7</v>
      </c>
      <c r="C128" s="16">
        <f>IF(C142&gt;C141,((C142-C141)*-1),((C141-C142)))</f>
        <v>158.56458739999999</v>
      </c>
      <c r="D128" s="16">
        <f t="shared" ref="D128:E128" si="72">IF(D142&gt;D141,((D142-D141)*-1),((D141-D142)))</f>
        <v>38.865621000000004</v>
      </c>
      <c r="E128" s="16">
        <f t="shared" si="72"/>
        <v>11.087229799999989</v>
      </c>
      <c r="F128" s="16">
        <f>IF(F142&gt;F141,((F142-F141)*-1),((F141-F142)))</f>
        <v>-32.039554950920007</v>
      </c>
      <c r="G128" s="16">
        <f>IF(G142&gt;G141,((G142-G141)*-1),((G141-G142)))</f>
        <v>-26.928535676640024</v>
      </c>
      <c r="H128" s="16">
        <f t="shared" ref="H128:R128" si="73">IF(H142&gt;H141,((H142-H141)*-1),((H141-H142)))</f>
        <v>-24.003555858200016</v>
      </c>
      <c r="I128" s="16">
        <f t="shared" si="73"/>
        <v>-3.7107606395289565</v>
      </c>
      <c r="J128" s="16">
        <f t="shared" si="73"/>
        <v>-5.0451875808032014</v>
      </c>
      <c r="K128" s="16">
        <f t="shared" si="73"/>
        <v>-13.38479006118785</v>
      </c>
      <c r="L128" s="16">
        <f t="shared" si="73"/>
        <v>-11.956156239547894</v>
      </c>
      <c r="M128" s="16">
        <f t="shared" si="73"/>
        <v>-1.6800465475429505</v>
      </c>
      <c r="N128" s="16">
        <f t="shared" si="73"/>
        <v>-0.85941750899881697</v>
      </c>
      <c r="O128" s="16">
        <f t="shared" si="73"/>
        <v>-2.8859213449500061</v>
      </c>
      <c r="P128" s="16">
        <f t="shared" si="73"/>
        <v>-2.1710857631480067</v>
      </c>
      <c r="Q128" s="16">
        <f t="shared" si="73"/>
        <v>-0.4010019147654873</v>
      </c>
      <c r="R128" s="14">
        <f t="shared" si="73"/>
        <v>19.643966277929792</v>
      </c>
      <c r="S128" s="18"/>
      <c r="T128" s="100" t="str">
        <f>'50% Exceedance Baseline'!T128</f>
        <v>Flow target surplus or deficit after input</v>
      </c>
    </row>
    <row r="129" spans="2:21" ht="15.75" thickBot="1" x14ac:dyDescent="0.3">
      <c r="B129" s="135" t="s">
        <v>115</v>
      </c>
      <c r="C129" s="136">
        <f t="shared" ref="C129:R129" si="74">C127*15*1.9835</f>
        <v>0</v>
      </c>
      <c r="D129" s="136">
        <f t="shared" si="74"/>
        <v>0</v>
      </c>
      <c r="E129" s="136">
        <f t="shared" si="74"/>
        <v>0</v>
      </c>
      <c r="F129" s="136">
        <f t="shared" si="74"/>
        <v>892.57500000000005</v>
      </c>
      <c r="G129" s="136">
        <f>G127*15*1.9835</f>
        <v>892.57500000000005</v>
      </c>
      <c r="H129" s="136">
        <f t="shared" si="74"/>
        <v>267.77249999999998</v>
      </c>
      <c r="I129" s="136">
        <f>I127*15*1.9835</f>
        <v>0</v>
      </c>
      <c r="J129" s="136">
        <f t="shared" si="74"/>
        <v>0</v>
      </c>
      <c r="K129" s="136">
        <f t="shared" si="74"/>
        <v>0</v>
      </c>
      <c r="L129" s="136">
        <f t="shared" si="74"/>
        <v>0</v>
      </c>
      <c r="M129" s="136">
        <f t="shared" si="74"/>
        <v>0</v>
      </c>
      <c r="N129" s="136">
        <f t="shared" si="74"/>
        <v>0</v>
      </c>
      <c r="O129" s="136">
        <f t="shared" si="74"/>
        <v>0</v>
      </c>
      <c r="P129" s="136">
        <f t="shared" si="74"/>
        <v>0</v>
      </c>
      <c r="Q129" s="136">
        <f t="shared" si="74"/>
        <v>0</v>
      </c>
      <c r="R129" s="137">
        <f t="shared" si="74"/>
        <v>0</v>
      </c>
      <c r="S129" s="136"/>
      <c r="T129" s="101" t="s">
        <v>118</v>
      </c>
      <c r="U129" s="139">
        <f>SUM(C129:R129)</f>
        <v>2052.9225000000001</v>
      </c>
    </row>
    <row r="130" spans="2:21" ht="15.75" thickBot="1" x14ac:dyDescent="0.3">
      <c r="B130" s="73" t="s">
        <v>6</v>
      </c>
      <c r="C130" s="46">
        <v>0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121">
        <v>0</v>
      </c>
      <c r="R130" s="46">
        <v>0</v>
      </c>
      <c r="S130" s="105"/>
      <c r="T130" s="100" t="str">
        <f>'50% Exceedance Baseline'!T130</f>
        <v>Flow input between Mgt. Pt. 5 and Mgt. Pt. 6</v>
      </c>
    </row>
    <row r="131" spans="2:21" x14ac:dyDescent="0.25">
      <c r="B131" s="79" t="s">
        <v>7</v>
      </c>
      <c r="C131" s="16">
        <f>IF(C142&gt;C141,((C142-C141)*-1),((C141-C142)))</f>
        <v>158.56458739999999</v>
      </c>
      <c r="D131" s="16">
        <f t="shared" ref="D131:R131" si="75">IF(D142&gt;D141,((D142-D141)*-1),((D141-D142)))</f>
        <v>38.865621000000004</v>
      </c>
      <c r="E131" s="16">
        <f t="shared" si="75"/>
        <v>11.087229799999989</v>
      </c>
      <c r="F131" s="16">
        <f t="shared" si="75"/>
        <v>-32.039554950920007</v>
      </c>
      <c r="G131" s="16">
        <f t="shared" si="75"/>
        <v>-26.928535676640024</v>
      </c>
      <c r="H131" s="16">
        <f t="shared" si="75"/>
        <v>-24.003555858200016</v>
      </c>
      <c r="I131" s="16">
        <f t="shared" si="75"/>
        <v>-3.7107606395289565</v>
      </c>
      <c r="J131" s="16">
        <f t="shared" si="75"/>
        <v>-5.0451875808032014</v>
      </c>
      <c r="K131" s="16">
        <f t="shared" si="75"/>
        <v>-13.38479006118785</v>
      </c>
      <c r="L131" s="16">
        <f t="shared" si="75"/>
        <v>-11.956156239547894</v>
      </c>
      <c r="M131" s="16">
        <f t="shared" si="75"/>
        <v>-1.6800465475429505</v>
      </c>
      <c r="N131" s="16">
        <f t="shared" si="75"/>
        <v>-0.85941750899881697</v>
      </c>
      <c r="O131" s="16">
        <f t="shared" si="75"/>
        <v>-2.8859213449500061</v>
      </c>
      <c r="P131" s="16">
        <f t="shared" si="75"/>
        <v>-2.1710857631480067</v>
      </c>
      <c r="Q131" s="16">
        <f t="shared" si="75"/>
        <v>-0.4010019147654873</v>
      </c>
      <c r="R131" s="14">
        <f t="shared" si="75"/>
        <v>19.643966277929792</v>
      </c>
      <c r="S131" s="18"/>
      <c r="T131" s="100" t="str">
        <f>'50% Exceedance Baseline'!T131</f>
        <v>Flow target surplus or deficit after input</v>
      </c>
    </row>
    <row r="132" spans="2:21" s="138" customFormat="1" ht="15.75" thickBot="1" x14ac:dyDescent="0.3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7"/>
      <c r="S132" s="136"/>
      <c r="T132" s="101"/>
      <c r="U132" s="139"/>
    </row>
    <row r="133" spans="2:21" ht="15.75" thickBot="1" x14ac:dyDescent="0.3">
      <c r="B133" s="73" t="s">
        <v>60</v>
      </c>
      <c r="C133" s="46">
        <v>0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121">
        <v>0</v>
      </c>
      <c r="R133" s="46">
        <v>0</v>
      </c>
      <c r="S133" s="105"/>
      <c r="T133" s="100" t="str">
        <f>'50% Exceedance Baseline'!T133</f>
        <v>Flow input between Mgt. Pt. 5 and Mgt. Pt. 6</v>
      </c>
    </row>
    <row r="134" spans="2:21" x14ac:dyDescent="0.25">
      <c r="B134" s="79" t="s">
        <v>7</v>
      </c>
      <c r="C134" s="16">
        <f>IF(C142&gt;C141,((C142-C141)*-1),((C141-C142)))</f>
        <v>158.56458739999999</v>
      </c>
      <c r="D134" s="16">
        <f t="shared" ref="D134:R134" si="76">IF(D142&gt;D141,((D142-D141)*-1),((D141-D142)))</f>
        <v>38.865621000000004</v>
      </c>
      <c r="E134" s="16">
        <f>IF(E142&gt;E141,((E142-E141)*-1),((E141-E142)))</f>
        <v>11.087229799999989</v>
      </c>
      <c r="F134" s="16">
        <f t="shared" si="76"/>
        <v>-32.039554950920007</v>
      </c>
      <c r="G134" s="16">
        <f t="shared" si="76"/>
        <v>-26.928535676640024</v>
      </c>
      <c r="H134" s="16">
        <f t="shared" si="76"/>
        <v>-24.003555858200016</v>
      </c>
      <c r="I134" s="16">
        <f t="shared" si="76"/>
        <v>-3.7107606395289565</v>
      </c>
      <c r="J134" s="16">
        <f t="shared" si="76"/>
        <v>-5.0451875808032014</v>
      </c>
      <c r="K134" s="16">
        <f t="shared" si="76"/>
        <v>-13.38479006118785</v>
      </c>
      <c r="L134" s="16">
        <f t="shared" si="76"/>
        <v>-11.956156239547894</v>
      </c>
      <c r="M134" s="16">
        <f t="shared" si="76"/>
        <v>-1.6800465475429505</v>
      </c>
      <c r="N134" s="16">
        <f t="shared" si="76"/>
        <v>-0.85941750899881697</v>
      </c>
      <c r="O134" s="16">
        <f t="shared" si="76"/>
        <v>-2.8859213449500061</v>
      </c>
      <c r="P134" s="16">
        <f t="shared" si="76"/>
        <v>-2.1710857631480067</v>
      </c>
      <c r="Q134" s="16">
        <f t="shared" si="76"/>
        <v>-0.4010019147654873</v>
      </c>
      <c r="R134" s="14">
        <f t="shared" si="76"/>
        <v>19.643966277929792</v>
      </c>
      <c r="S134" s="18"/>
      <c r="T134" s="100" t="str">
        <f>'50% Exceedance Baseline'!T134</f>
        <v>Flow target surplus or deficit after input</v>
      </c>
    </row>
    <row r="135" spans="2:21" s="32" customFormat="1" x14ac:dyDescent="0.25">
      <c r="B135" s="81" t="s">
        <v>25</v>
      </c>
      <c r="C135" s="18">
        <f t="shared" ref="C135:F135" si="77">SUM(C127+C130+C133)</f>
        <v>0</v>
      </c>
      <c r="D135" s="18">
        <f t="shared" si="77"/>
        <v>0</v>
      </c>
      <c r="E135" s="18">
        <f t="shared" si="77"/>
        <v>0</v>
      </c>
      <c r="F135" s="18">
        <f t="shared" si="77"/>
        <v>30</v>
      </c>
      <c r="G135" s="18">
        <f>SUM(G127+G130+G133)</f>
        <v>30</v>
      </c>
      <c r="H135" s="18">
        <f t="shared" ref="H135:N135" si="78">SUM(H127+H130+H133)</f>
        <v>9</v>
      </c>
      <c r="I135" s="18">
        <f t="shared" si="78"/>
        <v>0</v>
      </c>
      <c r="J135" s="18">
        <f t="shared" si="78"/>
        <v>0</v>
      </c>
      <c r="K135" s="18">
        <f t="shared" si="78"/>
        <v>0</v>
      </c>
      <c r="L135" s="18">
        <f t="shared" si="78"/>
        <v>0</v>
      </c>
      <c r="M135" s="18">
        <f t="shared" si="78"/>
        <v>0</v>
      </c>
      <c r="N135" s="18">
        <f t="shared" si="78"/>
        <v>0</v>
      </c>
      <c r="O135" s="18">
        <f>SUM(O127+O130+O133)</f>
        <v>0</v>
      </c>
      <c r="P135" s="18">
        <f>SUM(P127+P130+P133)</f>
        <v>0</v>
      </c>
      <c r="Q135" s="18">
        <f>SUM(Q127+Q130+Q133)</f>
        <v>0</v>
      </c>
      <c r="R135" s="17">
        <f>SUM(R127+R130+R133)</f>
        <v>0</v>
      </c>
      <c r="S135" s="18"/>
      <c r="T135" s="100" t="str">
        <f>'50% Exceedance Baseline'!T135</f>
        <v>Subtotal of all inputs in Detour Road to McDonald Road reach</v>
      </c>
      <c r="U135" s="31"/>
    </row>
    <row r="136" spans="2:21" s="26" customFormat="1" ht="15.75" thickBot="1" x14ac:dyDescent="0.3">
      <c r="B136" s="80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7"/>
      <c r="S136" s="18"/>
      <c r="T136" s="100"/>
      <c r="U136" s="25"/>
    </row>
    <row r="137" spans="2:21" s="64" customFormat="1" ht="15.75" thickBot="1" x14ac:dyDescent="0.3">
      <c r="B137" s="70" t="s">
        <v>69</v>
      </c>
      <c r="C137" s="69">
        <f>'50% Exceedance Baseline'!C137</f>
        <v>-2.5999999999999999E-2</v>
      </c>
      <c r="D137" s="69">
        <f>'50% Exceedance Baseline'!D137</f>
        <v>-2.5999999999999999E-2</v>
      </c>
      <c r="E137" s="69">
        <f>'50% Exceedance Baseline'!E137</f>
        <v>-2.5999999999999999E-2</v>
      </c>
      <c r="F137" s="69">
        <f>'50% Exceedance Baseline'!F137</f>
        <v>-2.5999999999999999E-2</v>
      </c>
      <c r="G137" s="69">
        <f>'50% Exceedance Baseline'!G137</f>
        <v>-2.5999999999999999E-2</v>
      </c>
      <c r="H137" s="69">
        <f>'50% Exceedance Baseline'!H137</f>
        <v>-2.5999999999999999E-2</v>
      </c>
      <c r="I137" s="69">
        <f>'50% Exceedance Baseline'!I137</f>
        <v>-2.5999999999999999E-2</v>
      </c>
      <c r="J137" s="69">
        <f>'50% Exceedance Baseline'!J137</f>
        <v>-2.5999999999999999E-2</v>
      </c>
      <c r="K137" s="69">
        <f>'50% Exceedance Baseline'!K137</f>
        <v>-6.9000000000000006E-2</v>
      </c>
      <c r="L137" s="69">
        <f>'50% Exceedance Baseline'!L137</f>
        <v>-6.9000000000000006E-2</v>
      </c>
      <c r="M137" s="69">
        <f>'50% Exceedance Baseline'!M137</f>
        <v>-6.9000000000000006E-2</v>
      </c>
      <c r="N137" s="69">
        <f>'50% Exceedance Baseline'!N137</f>
        <v>-6.9000000000000006E-2</v>
      </c>
      <c r="O137" s="69">
        <f>'50% Exceedance Baseline'!O137</f>
        <v>-6.9000000000000006E-2</v>
      </c>
      <c r="P137" s="69">
        <f>'50% Exceedance Baseline'!P137</f>
        <v>-6.9000000000000006E-2</v>
      </c>
      <c r="Q137" s="69">
        <f>'50% Exceedance Baseline'!Q137</f>
        <v>-6.9000000000000006E-2</v>
      </c>
      <c r="R137" s="69">
        <f>'50% Exceedance Baseline'!R137</f>
        <v>-6.9000000000000006E-2</v>
      </c>
      <c r="S137" s="107"/>
      <c r="T137" s="100" t="str">
        <f>'50% Exceedance Baseline'!T137</f>
        <v>Percentage total inputs lost or gained due to streambed hydrology (2002-2015 WWBWC seepage data); estimated current rates reduced by 10% to reflect assumed seepage reductions from future projects</v>
      </c>
      <c r="U137" s="83"/>
    </row>
    <row r="138" spans="2:21" s="26" customFormat="1" x14ac:dyDescent="0.25">
      <c r="B138" s="84" t="s">
        <v>20</v>
      </c>
      <c r="C138" s="57">
        <f>SUM(C135+C117)*(1+C137)</f>
        <v>0</v>
      </c>
      <c r="D138" s="57">
        <f t="shared" ref="D138:N138" si="79">SUM(D135+D117)*(1+D137)</f>
        <v>0</v>
      </c>
      <c r="E138" s="57">
        <f t="shared" si="79"/>
        <v>0</v>
      </c>
      <c r="F138" s="57">
        <f t="shared" si="79"/>
        <v>58.081923919079991</v>
      </c>
      <c r="G138" s="57">
        <f t="shared" si="79"/>
        <v>115.10182239335998</v>
      </c>
      <c r="H138" s="57">
        <f t="shared" si="79"/>
        <v>68.601695929799988</v>
      </c>
      <c r="I138" s="57">
        <f t="shared" si="79"/>
        <v>49.843571320471042</v>
      </c>
      <c r="J138" s="57">
        <f t="shared" si="79"/>
        <v>49.141549189196802</v>
      </c>
      <c r="K138" s="57">
        <f t="shared" si="79"/>
        <v>40.725962848812152</v>
      </c>
      <c r="L138" s="57">
        <f t="shared" si="79"/>
        <v>42.446778180452107</v>
      </c>
      <c r="M138" s="57">
        <f t="shared" si="79"/>
        <v>40.076568482457049</v>
      </c>
      <c r="N138" s="57">
        <f t="shared" si="79"/>
        <v>40.67472622100118</v>
      </c>
      <c r="O138" s="57">
        <f>SUM(O135+O117)*(1+O137)</f>
        <v>43.491705545049996</v>
      </c>
      <c r="P138" s="122">
        <f>SUM(P135+P117)*(1+P137)</f>
        <v>45.231373766851995</v>
      </c>
      <c r="Q138" s="57">
        <f>SUM(Q135+Q117)*(1+Q137)</f>
        <v>34.327664825234514</v>
      </c>
      <c r="R138" s="68">
        <f>SUM(R135+R117)*(1+R137)</f>
        <v>24.390709217929786</v>
      </c>
      <c r="S138" s="110"/>
      <c r="T138" s="100" t="str">
        <f>'50% Exceedance Baseline'!T138</f>
        <v>Total of all upstream input flow adjusted for streambed loss or gain</v>
      </c>
      <c r="U138" s="25"/>
    </row>
    <row r="139" spans="2:21" ht="15.75" thickBot="1" x14ac:dyDescent="0.3">
      <c r="B139" s="71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3"/>
      <c r="S139" s="110"/>
    </row>
    <row r="140" spans="2:21" ht="15.75" thickBot="1" x14ac:dyDescent="0.3">
      <c r="B140" s="42" t="s">
        <v>57</v>
      </c>
      <c r="C140" s="123">
        <f>'50% Exceedance Baseline'!C140</f>
        <v>308.56458739999999</v>
      </c>
      <c r="D140" s="123">
        <f>'50% Exceedance Baseline'!D140</f>
        <v>188.865621</v>
      </c>
      <c r="E140" s="123">
        <f>'50% Exceedance Baseline'!E140</f>
        <v>161.08722979999999</v>
      </c>
      <c r="F140" s="123">
        <f>'50% Exceedance Baseline'!F140</f>
        <v>59.878521130000003</v>
      </c>
      <c r="G140" s="123">
        <f>'50% Exceedance Baseline'!G140</f>
        <v>7.9696419299999999</v>
      </c>
      <c r="H140" s="123">
        <f>'50% Exceedance Baseline'!H140</f>
        <v>7.3947482119999997</v>
      </c>
      <c r="I140" s="123">
        <f>'50% Exceedance Baseline'!I140</f>
        <v>11.445668039999999</v>
      </c>
      <c r="J140" s="123">
        <f>'50% Exceedance Baseline'!J140</f>
        <v>10.81326323</v>
      </c>
      <c r="K140" s="123">
        <f>'50% Exceedance Baseline'!K140</f>
        <v>10.88924709</v>
      </c>
      <c r="L140" s="123">
        <f>'50% Exceedance Baseline'!L140</f>
        <v>10.597065580000001</v>
      </c>
      <c r="M140" s="123">
        <f>'50% Exceedance Baseline'!M140</f>
        <v>23.243384970000001</v>
      </c>
      <c r="N140" s="123">
        <f>'50% Exceedance Baseline'!N140</f>
        <v>23.46585627</v>
      </c>
      <c r="O140" s="123">
        <f>'50% Exceedance Baseline'!O140</f>
        <v>18.622373110000002</v>
      </c>
      <c r="P140" s="123">
        <f>'50% Exceedance Baseline'!P140</f>
        <v>17.597540469999998</v>
      </c>
      <c r="Q140" s="123">
        <f>'50% Exceedance Baseline'!Q140</f>
        <v>30.271333259999999</v>
      </c>
      <c r="R140" s="123">
        <f>'50% Exceedance Baseline'!R140</f>
        <v>60.253257060000003</v>
      </c>
      <c r="S140" s="19"/>
      <c r="T140" s="100" t="str">
        <f>'50% Exceedance Baseline'!T140</f>
        <v>Median flow data at S-119 gage (2013-2016)</v>
      </c>
    </row>
    <row r="141" spans="2:21" x14ac:dyDescent="0.25">
      <c r="B141" s="47" t="s">
        <v>41</v>
      </c>
      <c r="C141" s="48">
        <f>C140+C138</f>
        <v>308.56458739999999</v>
      </c>
      <c r="D141" s="48">
        <f t="shared" ref="D141:E141" si="80">D140+D138</f>
        <v>188.865621</v>
      </c>
      <c r="E141" s="48">
        <f t="shared" si="80"/>
        <v>161.08722979999999</v>
      </c>
      <c r="F141" s="48">
        <f>F140+F138</f>
        <v>117.96044504907999</v>
      </c>
      <c r="G141" s="48">
        <f t="shared" ref="G141:H141" si="81">G140+G138</f>
        <v>123.07146432335998</v>
      </c>
      <c r="H141" s="48">
        <f t="shared" si="81"/>
        <v>75.996444141799984</v>
      </c>
      <c r="I141" s="48">
        <f>I140+I138</f>
        <v>61.289239360471043</v>
      </c>
      <c r="J141" s="48">
        <f t="shared" ref="J141:N141" si="82">J140+J138</f>
        <v>59.954812419196799</v>
      </c>
      <c r="K141" s="48">
        <f t="shared" si="82"/>
        <v>51.61520993881215</v>
      </c>
      <c r="L141" s="48">
        <f t="shared" si="82"/>
        <v>53.043843760452106</v>
      </c>
      <c r="M141" s="48">
        <f t="shared" si="82"/>
        <v>63.31995345245705</v>
      </c>
      <c r="N141" s="48">
        <f t="shared" si="82"/>
        <v>64.140582491001183</v>
      </c>
      <c r="O141" s="48">
        <f>O140+O138</f>
        <v>62.114078655049994</v>
      </c>
      <c r="P141" s="48">
        <f>P140+P138</f>
        <v>62.828914236851993</v>
      </c>
      <c r="Q141" s="48">
        <f>Q140+Q138</f>
        <v>64.598998085234513</v>
      </c>
      <c r="R141" s="49">
        <f>R140+R138</f>
        <v>84.643966277929792</v>
      </c>
      <c r="S141" s="111"/>
      <c r="T141" s="100" t="str">
        <f>'50% Exceedance Baseline'!T141</f>
        <v>Flow gage data plus cumulative inputs adjusted for streambed loss or gain</v>
      </c>
    </row>
    <row r="142" spans="2:21" x14ac:dyDescent="0.25">
      <c r="B142" s="10" t="s">
        <v>8</v>
      </c>
      <c r="C142" s="8">
        <f>$C$16</f>
        <v>150</v>
      </c>
      <c r="D142" s="8">
        <f>$D$16</f>
        <v>150</v>
      </c>
      <c r="E142" s="8">
        <f>$E$16</f>
        <v>150</v>
      </c>
      <c r="F142" s="8">
        <f>$F$16</f>
        <v>150</v>
      </c>
      <c r="G142" s="8">
        <f>$G$16</f>
        <v>150</v>
      </c>
      <c r="H142" s="8">
        <f>$H$16</f>
        <v>100</v>
      </c>
      <c r="I142" s="8">
        <f>$I$16</f>
        <v>65</v>
      </c>
      <c r="J142" s="8">
        <f>$J$16</f>
        <v>65</v>
      </c>
      <c r="K142" s="8">
        <f>$K$16</f>
        <v>65</v>
      </c>
      <c r="L142" s="8">
        <f>$L$16</f>
        <v>65</v>
      </c>
      <c r="M142" s="8">
        <f>$M$16</f>
        <v>65</v>
      </c>
      <c r="N142" s="8">
        <f>$N$16</f>
        <v>65</v>
      </c>
      <c r="O142" s="8">
        <f>$O$16</f>
        <v>65</v>
      </c>
      <c r="P142" s="8">
        <f>$P$16</f>
        <v>65</v>
      </c>
      <c r="Q142" s="8">
        <f>$Q$16</f>
        <v>65</v>
      </c>
      <c r="R142" s="9">
        <f>$R$16</f>
        <v>65</v>
      </c>
      <c r="S142" s="112"/>
      <c r="T142" s="100" t="str">
        <f>'50% Exceedance Baseline'!T142</f>
        <v>Target flows</v>
      </c>
    </row>
    <row r="143" spans="2:21" ht="15.75" thickBot="1" x14ac:dyDescent="0.3">
      <c r="B143" s="37" t="s">
        <v>15</v>
      </c>
      <c r="C143" s="38">
        <f>IF(C141&gt;C142,0,(C142-C141)*-1)</f>
        <v>0</v>
      </c>
      <c r="D143" s="38">
        <f t="shared" ref="D143:E143" si="83">IF(D141&gt;D142,0,(D142-D141)*-1)</f>
        <v>0</v>
      </c>
      <c r="E143" s="38">
        <f t="shared" si="83"/>
        <v>0</v>
      </c>
      <c r="F143" s="38">
        <f>IF(F141&gt;F142,0,(F142-F141)*-1)</f>
        <v>-32.039554950920007</v>
      </c>
      <c r="G143" s="38">
        <f t="shared" ref="G143" si="84">IF(G141&gt;G142,0,(G142-G141)*-1)</f>
        <v>-26.928535676640024</v>
      </c>
      <c r="H143" s="38">
        <f>IF(H141&gt;H142,0,(H142-H141)*-1)</f>
        <v>-24.003555858200016</v>
      </c>
      <c r="I143" s="38">
        <f t="shared" ref="I143:N143" si="85">IF(I141&gt;I142,0,(I142-I141)*-1)</f>
        <v>-3.7107606395289565</v>
      </c>
      <c r="J143" s="38">
        <f t="shared" si="85"/>
        <v>-5.0451875808032014</v>
      </c>
      <c r="K143" s="38">
        <f t="shared" si="85"/>
        <v>-13.38479006118785</v>
      </c>
      <c r="L143" s="38">
        <f t="shared" si="85"/>
        <v>-11.956156239547894</v>
      </c>
      <c r="M143" s="38">
        <f t="shared" si="85"/>
        <v>-1.6800465475429505</v>
      </c>
      <c r="N143" s="38">
        <f t="shared" si="85"/>
        <v>-0.85941750899881697</v>
      </c>
      <c r="O143" s="38">
        <f>IF(O141&gt;O142,0,(O142-O141)*-1)</f>
        <v>-2.8859213449500061</v>
      </c>
      <c r="P143" s="38">
        <f>IF(P141&gt;P142,0,(P142-P141)*-1)</f>
        <v>-2.1710857631480067</v>
      </c>
      <c r="Q143" s="38">
        <f>IF(Q141&gt;Q142,0,(Q142-Q141)*-1)</f>
        <v>-0.4010019147654873</v>
      </c>
      <c r="R143" s="39">
        <f>IF(R141&gt;R142,0,(R142-R141)*-1)</f>
        <v>0</v>
      </c>
      <c r="S143" s="105"/>
      <c r="T143" s="100" t="str">
        <f>'50% Exceedance Baseline'!T143</f>
        <v>Deficit between target flows and flow gage data plus total adjusted inputs</v>
      </c>
    </row>
    <row r="144" spans="2:21" x14ac:dyDescent="0.25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18"/>
    </row>
    <row r="145" spans="2:21" x14ac:dyDescent="0.25">
      <c r="B145" s="35" t="s">
        <v>2</v>
      </c>
      <c r="C145" s="36">
        <f>'50% Exceedance Baseline'!C145</f>
        <v>30</v>
      </c>
      <c r="D145" s="36">
        <f>'50% Exceedance Baseline'!D145</f>
        <v>30</v>
      </c>
      <c r="E145" s="36">
        <f>'50% Exceedance Baseline'!E145</f>
        <v>20</v>
      </c>
      <c r="F145" s="36">
        <f>'50% Exceedance Baseline'!F145</f>
        <v>20</v>
      </c>
      <c r="G145" s="36">
        <f>'50% Exceedance Baseline'!G145</f>
        <v>1</v>
      </c>
      <c r="H145" s="36">
        <f>'50% Exceedance Baseline'!H145</f>
        <v>1</v>
      </c>
      <c r="I145" s="36">
        <f>'50% Exceedance Baseline'!I145</f>
        <v>1</v>
      </c>
      <c r="J145" s="36">
        <f>'50% Exceedance Baseline'!J145</f>
        <v>1</v>
      </c>
      <c r="K145" s="36">
        <f>'50% Exceedance Baseline'!K145</f>
        <v>1</v>
      </c>
      <c r="L145" s="36">
        <f>'50% Exceedance Baseline'!L145</f>
        <v>1</v>
      </c>
      <c r="M145" s="36">
        <f>'50% Exceedance Baseline'!M145</f>
        <v>1</v>
      </c>
      <c r="N145" s="36">
        <f>'50% Exceedance Baseline'!N145</f>
        <v>1</v>
      </c>
      <c r="O145" s="36">
        <f>'50% Exceedance Baseline'!O145</f>
        <v>1</v>
      </c>
      <c r="P145" s="36">
        <f>'50% Exceedance Baseline'!P145</f>
        <v>1</v>
      </c>
      <c r="Q145" s="36">
        <f>'50% Exceedance Baseline'!Q145</f>
        <v>3</v>
      </c>
      <c r="R145" s="36">
        <f>'50% Exceedance Baseline'!R145</f>
        <v>3</v>
      </c>
      <c r="S145" s="66"/>
      <c r="T145" s="100" t="str">
        <f>'50% Exceedance Baseline'!T145</f>
        <v>Estimate</v>
      </c>
    </row>
    <row r="146" spans="2:21" s="12" customFormat="1" x14ac:dyDescent="0.25">
      <c r="B146" s="62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100"/>
      <c r="U146" s="13"/>
    </row>
    <row r="147" spans="2:21" ht="15.75" thickBot="1" x14ac:dyDescent="0.3">
      <c r="B147" s="4" t="s">
        <v>67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18"/>
    </row>
    <row r="148" spans="2:21" ht="15.75" thickBot="1" x14ac:dyDescent="0.3">
      <c r="B148" s="72" t="s">
        <v>5</v>
      </c>
      <c r="C148" s="46">
        <v>0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121">
        <v>0</v>
      </c>
      <c r="R148" s="46">
        <v>0</v>
      </c>
      <c r="S148" s="105"/>
      <c r="T148" s="100" t="str">
        <f>'50% Exceedance Baseline'!T148</f>
        <v>Flow input between Mgt. Pt. 6 and Mgt. Pt. 7</v>
      </c>
    </row>
    <row r="149" spans="2:21" x14ac:dyDescent="0.25">
      <c r="B149" s="79" t="s">
        <v>7</v>
      </c>
      <c r="C149" s="16">
        <f>IF(C163&gt;C162,((C163-C162)*-1),((C162-C163)))</f>
        <v>880</v>
      </c>
      <c r="D149" s="16">
        <f t="shared" ref="D149:E149" si="86">IF(D163&gt;D162,((D163-D162)*-1),((D162-D163)))</f>
        <v>731.5</v>
      </c>
      <c r="E149" s="16">
        <f t="shared" si="86"/>
        <v>614</v>
      </c>
      <c r="F149" s="16">
        <f>IF(F163&gt;F162,((F163-F162)*-1),((F162-F163)))</f>
        <v>471.08192391907994</v>
      </c>
      <c r="G149" s="16">
        <f>IF(G163&gt;G162,((G163-G162)*-1),((G162-G163)))</f>
        <v>241.60182239335995</v>
      </c>
      <c r="H149" s="16">
        <f t="shared" ref="H149:R149" si="87">IF(H163&gt;H162,((H163-H162)*-1),((H162-H163)))</f>
        <v>75.601695929799973</v>
      </c>
      <c r="I149" s="16">
        <f t="shared" si="87"/>
        <v>33.843571320471042</v>
      </c>
      <c r="J149" s="16">
        <f t="shared" si="87"/>
        <v>6.1415491891968088</v>
      </c>
      <c r="K149" s="16">
        <f t="shared" si="87"/>
        <v>-9.2740371511878479</v>
      </c>
      <c r="L149" s="16">
        <f t="shared" si="87"/>
        <v>-8.5532218195478933</v>
      </c>
      <c r="M149" s="16">
        <f t="shared" si="87"/>
        <v>-1.9234315175429515</v>
      </c>
      <c r="N149" s="16">
        <f t="shared" si="87"/>
        <v>15.67472622100118</v>
      </c>
      <c r="O149" s="16">
        <f t="shared" si="87"/>
        <v>26.491705545049996</v>
      </c>
      <c r="P149" s="16">
        <f t="shared" si="87"/>
        <v>41.231373766851988</v>
      </c>
      <c r="Q149" s="16">
        <f t="shared" si="87"/>
        <v>79.327664825234507</v>
      </c>
      <c r="R149" s="14">
        <f t="shared" si="87"/>
        <v>203.39070921792978</v>
      </c>
      <c r="S149" s="18"/>
      <c r="T149" s="100" t="str">
        <f>'50% Exceedance Baseline'!T149</f>
        <v>Flow target surplus or deficit after input</v>
      </c>
    </row>
    <row r="150" spans="2:21" ht="15.75" thickBot="1" x14ac:dyDescent="0.3">
      <c r="B150" s="80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7"/>
      <c r="S150" s="18"/>
    </row>
    <row r="151" spans="2:21" ht="15.75" thickBot="1" x14ac:dyDescent="0.3">
      <c r="B151" s="73" t="s">
        <v>6</v>
      </c>
      <c r="C151" s="46">
        <v>0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121">
        <v>0</v>
      </c>
      <c r="R151" s="46">
        <v>0</v>
      </c>
      <c r="S151" s="105"/>
      <c r="T151" s="100" t="str">
        <f>'50% Exceedance Baseline'!T151</f>
        <v>Flow input between Mgt. Pt. 6 and Mgt. Pt. 7</v>
      </c>
    </row>
    <row r="152" spans="2:21" x14ac:dyDescent="0.25">
      <c r="B152" s="79" t="s">
        <v>7</v>
      </c>
      <c r="C152" s="16">
        <f>IF(C163&gt;C162,((C163-C162)*-1),((C162-C163)))</f>
        <v>880</v>
      </c>
      <c r="D152" s="16">
        <f t="shared" ref="D152:R152" si="88">IF(D163&gt;D162,((D163-D162)*-1),((D162-D163)))</f>
        <v>731.5</v>
      </c>
      <c r="E152" s="16">
        <f t="shared" si="88"/>
        <v>614</v>
      </c>
      <c r="F152" s="16">
        <f t="shared" si="88"/>
        <v>471.08192391907994</v>
      </c>
      <c r="G152" s="16">
        <f t="shared" si="88"/>
        <v>241.60182239335995</v>
      </c>
      <c r="H152" s="16">
        <f t="shared" si="88"/>
        <v>75.601695929799973</v>
      </c>
      <c r="I152" s="16">
        <f t="shared" si="88"/>
        <v>33.843571320471042</v>
      </c>
      <c r="J152" s="16">
        <f t="shared" si="88"/>
        <v>6.1415491891968088</v>
      </c>
      <c r="K152" s="16">
        <f t="shared" si="88"/>
        <v>-9.2740371511878479</v>
      </c>
      <c r="L152" s="16">
        <f t="shared" si="88"/>
        <v>-8.5532218195478933</v>
      </c>
      <c r="M152" s="16">
        <f t="shared" si="88"/>
        <v>-1.9234315175429515</v>
      </c>
      <c r="N152" s="16">
        <f t="shared" si="88"/>
        <v>15.67472622100118</v>
      </c>
      <c r="O152" s="16">
        <f t="shared" si="88"/>
        <v>26.491705545049996</v>
      </c>
      <c r="P152" s="16">
        <f t="shared" si="88"/>
        <v>41.231373766851988</v>
      </c>
      <c r="Q152" s="16">
        <f t="shared" si="88"/>
        <v>79.327664825234507</v>
      </c>
      <c r="R152" s="14">
        <f t="shared" si="88"/>
        <v>203.39070921792978</v>
      </c>
      <c r="S152" s="18"/>
      <c r="T152" s="100" t="str">
        <f>'50% Exceedance Baseline'!T152</f>
        <v>Flow target surplus or deficit after input</v>
      </c>
    </row>
    <row r="153" spans="2:21" s="4" customFormat="1" ht="15.75" thickBot="1" x14ac:dyDescent="0.3">
      <c r="B153" s="80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7"/>
      <c r="S153" s="18"/>
      <c r="T153" s="100"/>
      <c r="U153" s="131"/>
    </row>
    <row r="154" spans="2:21" ht="15.75" thickBot="1" x14ac:dyDescent="0.3">
      <c r="B154" s="73" t="s">
        <v>60</v>
      </c>
      <c r="C154" s="46">
        <v>0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121">
        <v>0</v>
      </c>
      <c r="R154" s="46">
        <v>0</v>
      </c>
      <c r="S154" s="105"/>
      <c r="T154" s="100" t="str">
        <f>'50% Exceedance Baseline'!T154</f>
        <v>Flow input between Mgt. Pt. 6 and Mgt. Pt. 7</v>
      </c>
    </row>
    <row r="155" spans="2:21" x14ac:dyDescent="0.25">
      <c r="B155" s="79" t="s">
        <v>7</v>
      </c>
      <c r="C155" s="16">
        <f>IF(C163&gt;C162,((C163-C162)*-1),((C162-C163)))</f>
        <v>880</v>
      </c>
      <c r="D155" s="16">
        <f t="shared" ref="D155" si="89">IF(D163&gt;D162,((D163-D162)*-1),((D162-D163)))</f>
        <v>731.5</v>
      </c>
      <c r="E155" s="16">
        <f>IF(E163&gt;E162,((E163-E162)*-1),((E162-E163)))</f>
        <v>614</v>
      </c>
      <c r="F155" s="16">
        <f t="shared" ref="F155:R155" si="90">IF(F163&gt;F162,((F163-F162)*-1),((F162-F163)))</f>
        <v>471.08192391907994</v>
      </c>
      <c r="G155" s="16">
        <f t="shared" si="90"/>
        <v>241.60182239335995</v>
      </c>
      <c r="H155" s="16">
        <f t="shared" si="90"/>
        <v>75.601695929799973</v>
      </c>
      <c r="I155" s="16">
        <f t="shared" si="90"/>
        <v>33.843571320471042</v>
      </c>
      <c r="J155" s="16">
        <f t="shared" si="90"/>
        <v>6.1415491891968088</v>
      </c>
      <c r="K155" s="16">
        <f t="shared" si="90"/>
        <v>-9.2740371511878479</v>
      </c>
      <c r="L155" s="16">
        <f t="shared" si="90"/>
        <v>-8.5532218195478933</v>
      </c>
      <c r="M155" s="16">
        <f t="shared" si="90"/>
        <v>-1.9234315175429515</v>
      </c>
      <c r="N155" s="16">
        <f t="shared" si="90"/>
        <v>15.67472622100118</v>
      </c>
      <c r="O155" s="16">
        <f t="shared" si="90"/>
        <v>26.491705545049996</v>
      </c>
      <c r="P155" s="16">
        <f t="shared" si="90"/>
        <v>41.231373766851988</v>
      </c>
      <c r="Q155" s="16">
        <f t="shared" si="90"/>
        <v>79.327664825234507</v>
      </c>
      <c r="R155" s="14">
        <f t="shared" si="90"/>
        <v>203.39070921792978</v>
      </c>
      <c r="S155" s="18"/>
      <c r="T155" s="100" t="str">
        <f>'50% Exceedance Baseline'!T155</f>
        <v>Flow target surplus or deficit after input</v>
      </c>
    </row>
    <row r="156" spans="2:21" s="4" customFormat="1" x14ac:dyDescent="0.25">
      <c r="B156" s="81" t="s">
        <v>26</v>
      </c>
      <c r="C156" s="18">
        <f t="shared" ref="C156:F156" si="91">SUM(C148+C151+C154)</f>
        <v>0</v>
      </c>
      <c r="D156" s="18">
        <f t="shared" si="91"/>
        <v>0</v>
      </c>
      <c r="E156" s="18">
        <f t="shared" si="91"/>
        <v>0</v>
      </c>
      <c r="F156" s="18">
        <f t="shared" si="91"/>
        <v>0</v>
      </c>
      <c r="G156" s="18">
        <f>SUM(G148+G151+G154)</f>
        <v>0</v>
      </c>
      <c r="H156" s="18">
        <f t="shared" ref="H156:N156" si="92">SUM(H148+H151+H154)</f>
        <v>0</v>
      </c>
      <c r="I156" s="18">
        <f t="shared" si="92"/>
        <v>0</v>
      </c>
      <c r="J156" s="18">
        <f t="shared" si="92"/>
        <v>0</v>
      </c>
      <c r="K156" s="18">
        <f t="shared" si="92"/>
        <v>0</v>
      </c>
      <c r="L156" s="18">
        <f t="shared" si="92"/>
        <v>0</v>
      </c>
      <c r="M156" s="18">
        <f t="shared" si="92"/>
        <v>0</v>
      </c>
      <c r="N156" s="18">
        <f t="shared" si="92"/>
        <v>0</v>
      </c>
      <c r="O156" s="18">
        <f>SUM(O148+O151+O154)</f>
        <v>0</v>
      </c>
      <c r="P156" s="18">
        <f>SUM(P148+P151+P154)</f>
        <v>0</v>
      </c>
      <c r="Q156" s="18">
        <f>SUM(Q148+Q151+Q154)</f>
        <v>0</v>
      </c>
      <c r="R156" s="17">
        <f>SUM(R148+R151+R154)</f>
        <v>0</v>
      </c>
      <c r="S156" s="18"/>
      <c r="T156" s="100" t="str">
        <f>'50% Exceedance Baseline'!T156</f>
        <v>Subtotal of all inputs in McDonald Road to Touchet Confluence reach</v>
      </c>
      <c r="U156" s="131"/>
    </row>
    <row r="157" spans="2:21" s="26" customFormat="1" ht="15.75" thickBot="1" x14ac:dyDescent="0.3">
      <c r="B157" s="80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7"/>
      <c r="S157" s="18"/>
      <c r="T157" s="100"/>
      <c r="U157" s="25"/>
    </row>
    <row r="158" spans="2:21" s="64" customFormat="1" ht="15.75" thickBot="1" x14ac:dyDescent="0.3">
      <c r="B158" s="70" t="s">
        <v>69</v>
      </c>
      <c r="C158" s="82">
        <f>'50% Exceedance Baseline'!C158</f>
        <v>0</v>
      </c>
      <c r="D158" s="82">
        <f>'50% Exceedance Baseline'!D158</f>
        <v>0</v>
      </c>
      <c r="E158" s="82">
        <f>'50% Exceedance Baseline'!E158</f>
        <v>0</v>
      </c>
      <c r="F158" s="82">
        <f>'50% Exceedance Baseline'!F158</f>
        <v>0</v>
      </c>
      <c r="G158" s="82">
        <f>'50% Exceedance Baseline'!G158</f>
        <v>0</v>
      </c>
      <c r="H158" s="82">
        <f>'50% Exceedance Baseline'!H158</f>
        <v>0</v>
      </c>
      <c r="I158" s="82">
        <f>'50% Exceedance Baseline'!I158</f>
        <v>0</v>
      </c>
      <c r="J158" s="82">
        <f>'50% Exceedance Baseline'!J158</f>
        <v>0</v>
      </c>
      <c r="K158" s="82">
        <f>'50% Exceedance Baseline'!K158</f>
        <v>0</v>
      </c>
      <c r="L158" s="82">
        <f>'50% Exceedance Baseline'!L158</f>
        <v>0</v>
      </c>
      <c r="M158" s="82">
        <f>'50% Exceedance Baseline'!M158</f>
        <v>0</v>
      </c>
      <c r="N158" s="82">
        <f>'50% Exceedance Baseline'!N158</f>
        <v>0</v>
      </c>
      <c r="O158" s="82">
        <f>'50% Exceedance Baseline'!O158</f>
        <v>0</v>
      </c>
      <c r="P158" s="82">
        <f>'50% Exceedance Baseline'!P158</f>
        <v>0</v>
      </c>
      <c r="Q158" s="82">
        <f>'50% Exceedance Baseline'!Q158</f>
        <v>0</v>
      </c>
      <c r="R158" s="82">
        <f>'50% Exceedance Baseline'!R158</f>
        <v>0</v>
      </c>
      <c r="S158" s="106"/>
      <c r="T158" s="100" t="str">
        <f>'50% Exceedance Baseline'!T158</f>
        <v>Gaining reach, but limited data available; assumed 0% seepage as conservative estimate</v>
      </c>
      <c r="U158" s="83"/>
    </row>
    <row r="159" spans="2:21" x14ac:dyDescent="0.25">
      <c r="B159" s="84" t="s">
        <v>20</v>
      </c>
      <c r="C159" s="57">
        <f>SUM(C156+C138)*(1+C158)</f>
        <v>0</v>
      </c>
      <c r="D159" s="57">
        <f t="shared" ref="D159:N159" si="93">SUM(D156+D138)*(1+D158)</f>
        <v>0</v>
      </c>
      <c r="E159" s="57">
        <f t="shared" si="93"/>
        <v>0</v>
      </c>
      <c r="F159" s="57">
        <f t="shared" si="93"/>
        <v>58.081923919079991</v>
      </c>
      <c r="G159" s="57">
        <f t="shared" si="93"/>
        <v>115.10182239335998</v>
      </c>
      <c r="H159" s="57">
        <f t="shared" si="93"/>
        <v>68.601695929799988</v>
      </c>
      <c r="I159" s="57">
        <f t="shared" si="93"/>
        <v>49.843571320471042</v>
      </c>
      <c r="J159" s="57">
        <f t="shared" si="93"/>
        <v>49.141549189196802</v>
      </c>
      <c r="K159" s="57">
        <f t="shared" si="93"/>
        <v>40.725962848812152</v>
      </c>
      <c r="L159" s="57">
        <f t="shared" si="93"/>
        <v>42.446778180452107</v>
      </c>
      <c r="M159" s="57">
        <f t="shared" si="93"/>
        <v>40.076568482457049</v>
      </c>
      <c r="N159" s="57">
        <f t="shared" si="93"/>
        <v>40.67472622100118</v>
      </c>
      <c r="O159" s="57">
        <f>SUM(O156+O138)*(1+O158)</f>
        <v>43.491705545049996</v>
      </c>
      <c r="P159" s="122">
        <f>SUM(P156+P138)*(1+P158)</f>
        <v>45.231373766851995</v>
      </c>
      <c r="Q159" s="57">
        <f>SUM(Q156+Q138)*(1+Q158)</f>
        <v>34.327664825234514</v>
      </c>
      <c r="R159" s="68">
        <f>SUM(R156+R138)*(1+R158)</f>
        <v>24.390709217929786</v>
      </c>
      <c r="S159" s="110"/>
      <c r="T159" s="100" t="str">
        <f>'50% Exceedance Baseline'!T159</f>
        <v>Total of all upstream input flow adjusted for streambed loss or gain</v>
      </c>
    </row>
    <row r="160" spans="2:21" ht="15.75" thickBot="1" x14ac:dyDescent="0.3">
      <c r="B160" s="71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3"/>
      <c r="S160" s="110"/>
    </row>
    <row r="161" spans="2:20" ht="15.75" thickBot="1" x14ac:dyDescent="0.3">
      <c r="B161" s="24" t="s">
        <v>58</v>
      </c>
      <c r="C161" s="123">
        <f>'50% Exceedance Baseline'!C161</f>
        <v>1030</v>
      </c>
      <c r="D161" s="123">
        <f>'50% Exceedance Baseline'!D161</f>
        <v>881.5</v>
      </c>
      <c r="E161" s="123">
        <f>'50% Exceedance Baseline'!E161</f>
        <v>764</v>
      </c>
      <c r="F161" s="123">
        <f>'50% Exceedance Baseline'!F161</f>
        <v>563</v>
      </c>
      <c r="G161" s="123">
        <f>'50% Exceedance Baseline'!G161</f>
        <v>276.5</v>
      </c>
      <c r="H161" s="123">
        <f>'50% Exceedance Baseline'!H161</f>
        <v>107</v>
      </c>
      <c r="I161" s="123">
        <f>'50% Exceedance Baseline'!I161</f>
        <v>49</v>
      </c>
      <c r="J161" s="123">
        <f>'50% Exceedance Baseline'!J161</f>
        <v>22</v>
      </c>
      <c r="K161" s="123">
        <f>'50% Exceedance Baseline'!K161</f>
        <v>15</v>
      </c>
      <c r="L161" s="123">
        <f>'50% Exceedance Baseline'!L161</f>
        <v>14</v>
      </c>
      <c r="M161" s="123">
        <f>'50% Exceedance Baseline'!M161</f>
        <v>23</v>
      </c>
      <c r="N161" s="123">
        <f>'50% Exceedance Baseline'!N161</f>
        <v>40</v>
      </c>
      <c r="O161" s="123">
        <f>'50% Exceedance Baseline'!O161</f>
        <v>48</v>
      </c>
      <c r="P161" s="123">
        <f>'50% Exceedance Baseline'!P161</f>
        <v>61</v>
      </c>
      <c r="Q161" s="123">
        <f>'50% Exceedance Baseline'!Q161</f>
        <v>110</v>
      </c>
      <c r="R161" s="123">
        <f>'50% Exceedance Baseline'!R161</f>
        <v>244</v>
      </c>
      <c r="S161" s="27"/>
      <c r="T161" s="100" t="str">
        <f>'50% Exceedance Baseline'!T161</f>
        <v>Median flow data at S-111 gage (1951-2016)</v>
      </c>
    </row>
    <row r="162" spans="2:20" x14ac:dyDescent="0.25">
      <c r="B162" s="47" t="s">
        <v>51</v>
      </c>
      <c r="C162" s="48">
        <f>C161+C159</f>
        <v>1030</v>
      </c>
      <c r="D162" s="48">
        <f t="shared" ref="D162:E162" si="94">D161+D159</f>
        <v>881.5</v>
      </c>
      <c r="E162" s="48">
        <f t="shared" si="94"/>
        <v>764</v>
      </c>
      <c r="F162" s="48">
        <f>F161+F159</f>
        <v>621.08192391907994</v>
      </c>
      <c r="G162" s="48">
        <f t="shared" ref="G162:H162" si="95">G161+G159</f>
        <v>391.60182239335995</v>
      </c>
      <c r="H162" s="48">
        <f t="shared" si="95"/>
        <v>175.60169592979997</v>
      </c>
      <c r="I162" s="48">
        <f>I161+I159</f>
        <v>98.843571320471042</v>
      </c>
      <c r="J162" s="48">
        <f t="shared" ref="J162:N162" si="96">J161+J159</f>
        <v>71.141549189196809</v>
      </c>
      <c r="K162" s="48">
        <f t="shared" si="96"/>
        <v>55.725962848812152</v>
      </c>
      <c r="L162" s="48">
        <f t="shared" si="96"/>
        <v>56.446778180452107</v>
      </c>
      <c r="M162" s="48">
        <f t="shared" si="96"/>
        <v>63.076568482457049</v>
      </c>
      <c r="N162" s="48">
        <f t="shared" si="96"/>
        <v>80.67472622100118</v>
      </c>
      <c r="O162" s="48">
        <f>O161+O159</f>
        <v>91.491705545049996</v>
      </c>
      <c r="P162" s="48">
        <f>P161+P159</f>
        <v>106.23137376685199</v>
      </c>
      <c r="Q162" s="48">
        <f>Q161+Q159</f>
        <v>144.32766482523451</v>
      </c>
      <c r="R162" s="49">
        <f>R161+R159</f>
        <v>268.39070921792978</v>
      </c>
      <c r="S162" s="111"/>
      <c r="T162" s="100" t="str">
        <f>'50% Exceedance Baseline'!T162</f>
        <v>Flow gage data plus cumulative inputs adjusted for streambed loss or gain</v>
      </c>
    </row>
    <row r="163" spans="2:20" x14ac:dyDescent="0.25">
      <c r="B163" s="10" t="s">
        <v>8</v>
      </c>
      <c r="C163" s="8">
        <f>$C$16</f>
        <v>150</v>
      </c>
      <c r="D163" s="8">
        <f>$D$16</f>
        <v>150</v>
      </c>
      <c r="E163" s="8">
        <f>$E$16</f>
        <v>150</v>
      </c>
      <c r="F163" s="8">
        <f>$F$16</f>
        <v>150</v>
      </c>
      <c r="G163" s="8">
        <f>$G$16</f>
        <v>150</v>
      </c>
      <c r="H163" s="8">
        <f>$H$16</f>
        <v>100</v>
      </c>
      <c r="I163" s="8">
        <f>$I$16</f>
        <v>65</v>
      </c>
      <c r="J163" s="8">
        <f>$J$16</f>
        <v>65</v>
      </c>
      <c r="K163" s="8">
        <f>$K$16</f>
        <v>65</v>
      </c>
      <c r="L163" s="8">
        <f>$L$16</f>
        <v>65</v>
      </c>
      <c r="M163" s="8">
        <f>$M$16</f>
        <v>65</v>
      </c>
      <c r="N163" s="8">
        <f>$N$16</f>
        <v>65</v>
      </c>
      <c r="O163" s="8">
        <f>$O$16</f>
        <v>65</v>
      </c>
      <c r="P163" s="8">
        <f>$P$16</f>
        <v>65</v>
      </c>
      <c r="Q163" s="8">
        <f>$Q$16</f>
        <v>65</v>
      </c>
      <c r="R163" s="9">
        <f>$R$16</f>
        <v>65</v>
      </c>
      <c r="S163" s="112"/>
      <c r="T163" s="100" t="str">
        <f>'50% Exceedance Baseline'!T163</f>
        <v>Target flows</v>
      </c>
    </row>
    <row r="164" spans="2:20" ht="15.75" thickBot="1" x14ac:dyDescent="0.3">
      <c r="B164" s="37" t="s">
        <v>16</v>
      </c>
      <c r="C164" s="38">
        <f>IF(C162&gt;C163,0,(C163-C162)*-1)</f>
        <v>0</v>
      </c>
      <c r="D164" s="38">
        <f t="shared" ref="D164:E164" si="97">IF(D162&gt;D163,0,(D163-D162)*-1)</f>
        <v>0</v>
      </c>
      <c r="E164" s="38">
        <f t="shared" si="97"/>
        <v>0</v>
      </c>
      <c r="F164" s="38">
        <f>IF(F162&gt;F163,0,(F163-F162)*-1)</f>
        <v>0</v>
      </c>
      <c r="G164" s="38">
        <f t="shared" ref="G164" si="98">IF(G162&gt;G163,0,(G163-G162)*-1)</f>
        <v>0</v>
      </c>
      <c r="H164" s="38">
        <f>IF(H162&gt;H163,0,(H163-H162)*-1)</f>
        <v>0</v>
      </c>
      <c r="I164" s="38">
        <f t="shared" ref="I164:N164" si="99">IF(I162&gt;I163,0,(I163-I162)*-1)</f>
        <v>0</v>
      </c>
      <c r="J164" s="38">
        <f t="shared" si="99"/>
        <v>0</v>
      </c>
      <c r="K164" s="38">
        <f>IF(K162&gt;K163,0,(K163-K162)*-1)</f>
        <v>-9.2740371511878479</v>
      </c>
      <c r="L164" s="38">
        <f>IF(L162&gt;L163,0,(L163-L162)*-1)</f>
        <v>-8.5532218195478933</v>
      </c>
      <c r="M164" s="38">
        <f t="shared" si="99"/>
        <v>-1.9234315175429515</v>
      </c>
      <c r="N164" s="38">
        <f t="shared" si="99"/>
        <v>0</v>
      </c>
      <c r="O164" s="38">
        <f>IF(O162&gt;O163,0,(O163-O162)*-1)</f>
        <v>0</v>
      </c>
      <c r="P164" s="38">
        <f>IF(P162&gt;P163,0,(P163-P162)*-1)</f>
        <v>0</v>
      </c>
      <c r="Q164" s="38">
        <f>IF(Q162&gt;Q163,0,(Q163-Q162)*-1)</f>
        <v>0</v>
      </c>
      <c r="R164" s="39">
        <f>IF(R162&gt;R163,0,(R163-R162)*-1)</f>
        <v>0</v>
      </c>
      <c r="S164" s="105"/>
      <c r="T164" s="100" t="str">
        <f>'50% Exceedance Baseline'!T164</f>
        <v>Deficit between target flows and flow gage data plus total adjusted inputs</v>
      </c>
    </row>
    <row r="165" spans="2:20" x14ac:dyDescent="0.25">
      <c r="B165" s="40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105"/>
    </row>
    <row r="166" spans="2:20" ht="15.75" thickBot="1" x14ac:dyDescent="0.3">
      <c r="B166" s="67" t="s">
        <v>62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18"/>
    </row>
    <row r="167" spans="2:20" ht="15.75" thickBot="1" x14ac:dyDescent="0.3">
      <c r="B167" s="94" t="s">
        <v>5</v>
      </c>
      <c r="C167" s="46">
        <v>0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121">
        <v>0</v>
      </c>
      <c r="R167" s="46">
        <v>0</v>
      </c>
      <c r="S167" s="105"/>
      <c r="T167" s="100" t="str">
        <f>'50% Exceedance Baseline'!T167</f>
        <v>Flow input between Mgt. Pt. 7 and Mgt. Pt. 8</v>
      </c>
    </row>
    <row r="168" spans="2:20" x14ac:dyDescent="0.25">
      <c r="B168" s="95" t="s">
        <v>7</v>
      </c>
      <c r="C168" s="16">
        <f>IF(C182&gt;C181,((C182-C181)*-1),((C181-C182)))</f>
        <v>667.29318639999997</v>
      </c>
      <c r="D168" s="16">
        <f t="shared" ref="D168:E168" si="100">IF(D182&gt;D181,((D182-D181)*-1),((D181-D182)))</f>
        <v>303.71796180000001</v>
      </c>
      <c r="E168" s="16">
        <f t="shared" si="100"/>
        <v>161.46826600000003</v>
      </c>
      <c r="F168" s="16">
        <f>IF(F182&gt;F181,((F182-F181)*-1),((F181-F182)))</f>
        <v>73.724175685125147</v>
      </c>
      <c r="G168" s="16">
        <f>IF(G182&gt;G181,((G182-G181)*-1),((G181-G182)))</f>
        <v>6.0718703896407078</v>
      </c>
      <c r="H168" s="16">
        <f t="shared" ref="H168:R168" si="101">IF(H182&gt;H181,((H182-H181)*-1),((H181-H182)))</f>
        <v>27.938492807454594</v>
      </c>
      <c r="I168" s="16">
        <f t="shared" si="101"/>
        <v>29.523509702029543</v>
      </c>
      <c r="J168" s="16">
        <f t="shared" si="101"/>
        <v>-2.632625560534251</v>
      </c>
      <c r="K168" s="16">
        <f t="shared" si="101"/>
        <v>-27.177892192399533</v>
      </c>
      <c r="L168" s="16">
        <f t="shared" si="101"/>
        <v>-25.60715330813472</v>
      </c>
      <c r="M168" s="16">
        <f t="shared" si="101"/>
        <v>21.207563491317018</v>
      </c>
      <c r="N168" s="16">
        <f t="shared" si="101"/>
        <v>22.083934908351594</v>
      </c>
      <c r="O168" s="16">
        <f t="shared" si="101"/>
        <v>21.636500889465992</v>
      </c>
      <c r="P168" s="16">
        <f t="shared" si="101"/>
        <v>46.032022912244628</v>
      </c>
      <c r="Q168" s="16">
        <f t="shared" si="101"/>
        <v>76.020828929309573</v>
      </c>
      <c r="R168" s="14">
        <f t="shared" si="101"/>
        <v>138.61195666766733</v>
      </c>
      <c r="S168" s="18"/>
      <c r="T168" s="100" t="str">
        <f>'50% Exceedance Baseline'!T168</f>
        <v>Flow target surplus or deficit after input</v>
      </c>
    </row>
    <row r="169" spans="2:20" ht="15.75" thickBot="1" x14ac:dyDescent="0.3">
      <c r="B169" s="96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7"/>
      <c r="S169" s="18"/>
    </row>
    <row r="170" spans="2:20" ht="15.75" thickBot="1" x14ac:dyDescent="0.3">
      <c r="B170" s="97" t="s">
        <v>6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121">
        <v>0</v>
      </c>
      <c r="R170" s="46">
        <v>0</v>
      </c>
      <c r="S170" s="105"/>
      <c r="T170" s="100" t="str">
        <f>'50% Exceedance Baseline'!T170</f>
        <v>Flow input between Mgt. Pt. 7 and Mgt. Pt. 8</v>
      </c>
    </row>
    <row r="171" spans="2:20" x14ac:dyDescent="0.25">
      <c r="B171" s="95" t="s">
        <v>7</v>
      </c>
      <c r="C171" s="16">
        <f>IF(C182&gt;C181,((C182-C181)*-1),((C181-C182)))</f>
        <v>667.29318639999997</v>
      </c>
      <c r="D171" s="16">
        <f t="shared" ref="D171:R171" si="102">IF(D182&gt;D181,((D182-D181)*-1),((D181-D182)))</f>
        <v>303.71796180000001</v>
      </c>
      <c r="E171" s="16">
        <f t="shared" si="102"/>
        <v>161.46826600000003</v>
      </c>
      <c r="F171" s="16">
        <f t="shared" si="102"/>
        <v>73.724175685125147</v>
      </c>
      <c r="G171" s="16">
        <f t="shared" si="102"/>
        <v>6.0718703896407078</v>
      </c>
      <c r="H171" s="16">
        <f t="shared" si="102"/>
        <v>27.938492807454594</v>
      </c>
      <c r="I171" s="16">
        <f t="shared" si="102"/>
        <v>29.523509702029543</v>
      </c>
      <c r="J171" s="16">
        <f t="shared" si="102"/>
        <v>-2.632625560534251</v>
      </c>
      <c r="K171" s="16">
        <f t="shared" si="102"/>
        <v>-27.177892192399533</v>
      </c>
      <c r="L171" s="16">
        <f t="shared" si="102"/>
        <v>-25.60715330813472</v>
      </c>
      <c r="M171" s="16">
        <f t="shared" si="102"/>
        <v>21.207563491317018</v>
      </c>
      <c r="N171" s="16">
        <f t="shared" si="102"/>
        <v>22.083934908351594</v>
      </c>
      <c r="O171" s="16">
        <f t="shared" si="102"/>
        <v>21.636500889465992</v>
      </c>
      <c r="P171" s="16">
        <f t="shared" si="102"/>
        <v>46.032022912244628</v>
      </c>
      <c r="Q171" s="16">
        <f t="shared" si="102"/>
        <v>76.020828929309573</v>
      </c>
      <c r="R171" s="14">
        <f t="shared" si="102"/>
        <v>138.61195666766733</v>
      </c>
      <c r="S171" s="18"/>
      <c r="T171" s="100" t="str">
        <f>'50% Exceedance Baseline'!T171</f>
        <v>Flow target surplus or deficit after input</v>
      </c>
    </row>
    <row r="172" spans="2:20" ht="15.75" thickBot="1" x14ac:dyDescent="0.3">
      <c r="B172" s="96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7"/>
      <c r="S172" s="18"/>
    </row>
    <row r="173" spans="2:20" ht="15.75" thickBot="1" x14ac:dyDescent="0.3">
      <c r="B173" s="73" t="s">
        <v>60</v>
      </c>
      <c r="C173" s="46">
        <v>0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121">
        <v>0</v>
      </c>
      <c r="R173" s="46">
        <v>0</v>
      </c>
      <c r="S173" s="105"/>
      <c r="T173" s="100" t="str">
        <f>'50% Exceedance Baseline'!T173</f>
        <v>Flow input between Mgt. Pt. 7 and Mgt. Pt. 8</v>
      </c>
    </row>
    <row r="174" spans="2:20" x14ac:dyDescent="0.25">
      <c r="B174" s="95" t="s">
        <v>7</v>
      </c>
      <c r="C174" s="16">
        <f>IF(C182&gt;C181,((C182-C181)*-1),((C181-C182)))</f>
        <v>667.29318639999997</v>
      </c>
      <c r="D174" s="16">
        <f t="shared" ref="D174" si="103">IF(D182&gt;D181,((D182-D181)*-1),((D181-D182)))</f>
        <v>303.71796180000001</v>
      </c>
      <c r="E174" s="16">
        <f>IF(E182&gt;E181,((E182-E181)*-1),((E181-E182)))</f>
        <v>161.46826600000003</v>
      </c>
      <c r="F174" s="16">
        <f t="shared" ref="F174:R174" si="104">IF(F182&gt;F181,((F182-F181)*-1),((F181-F182)))</f>
        <v>73.724175685125147</v>
      </c>
      <c r="G174" s="16">
        <f t="shared" si="104"/>
        <v>6.0718703896407078</v>
      </c>
      <c r="H174" s="16">
        <f t="shared" si="104"/>
        <v>27.938492807454594</v>
      </c>
      <c r="I174" s="16">
        <f t="shared" si="104"/>
        <v>29.523509702029543</v>
      </c>
      <c r="J174" s="16">
        <f t="shared" si="104"/>
        <v>-2.632625560534251</v>
      </c>
      <c r="K174" s="16">
        <f t="shared" si="104"/>
        <v>-27.177892192399533</v>
      </c>
      <c r="L174" s="16">
        <f t="shared" si="104"/>
        <v>-25.60715330813472</v>
      </c>
      <c r="M174" s="16">
        <f t="shared" si="104"/>
        <v>21.207563491317018</v>
      </c>
      <c r="N174" s="16">
        <f t="shared" si="104"/>
        <v>22.083934908351594</v>
      </c>
      <c r="O174" s="16">
        <f t="shared" si="104"/>
        <v>21.636500889465992</v>
      </c>
      <c r="P174" s="16">
        <f t="shared" si="104"/>
        <v>46.032022912244628</v>
      </c>
      <c r="Q174" s="16">
        <f t="shared" si="104"/>
        <v>76.020828929309573</v>
      </c>
      <c r="R174" s="14">
        <f t="shared" si="104"/>
        <v>138.61195666766733</v>
      </c>
      <c r="S174" s="18"/>
      <c r="T174" s="100" t="str">
        <f>'50% Exceedance Baseline'!T174</f>
        <v>Flow target surplus or deficit after input</v>
      </c>
    </row>
    <row r="175" spans="2:20" x14ac:dyDescent="0.25">
      <c r="B175" s="98" t="s">
        <v>27</v>
      </c>
      <c r="C175" s="18">
        <f t="shared" ref="C175:F175" si="105">SUM(C167+C170+C173)</f>
        <v>0</v>
      </c>
      <c r="D175" s="18">
        <f t="shared" si="105"/>
        <v>0</v>
      </c>
      <c r="E175" s="18">
        <f t="shared" si="105"/>
        <v>0</v>
      </c>
      <c r="F175" s="18">
        <f t="shared" si="105"/>
        <v>0</v>
      </c>
      <c r="G175" s="18">
        <f>SUM(G167+G170+G173)</f>
        <v>0</v>
      </c>
      <c r="H175" s="18">
        <f t="shared" ref="H175:N175" si="106">SUM(H167+H170+H173)</f>
        <v>0</v>
      </c>
      <c r="I175" s="18">
        <f t="shared" si="106"/>
        <v>0</v>
      </c>
      <c r="J175" s="18">
        <f t="shared" si="106"/>
        <v>0</v>
      </c>
      <c r="K175" s="18">
        <f t="shared" si="106"/>
        <v>0</v>
      </c>
      <c r="L175" s="18">
        <f t="shared" si="106"/>
        <v>0</v>
      </c>
      <c r="M175" s="18">
        <f t="shared" si="106"/>
        <v>0</v>
      </c>
      <c r="N175" s="18">
        <f t="shared" si="106"/>
        <v>0</v>
      </c>
      <c r="O175" s="18">
        <f>SUM(O167+O170+O173)</f>
        <v>0</v>
      </c>
      <c r="P175" s="18">
        <f>SUM(P167+P170+P173)</f>
        <v>0</v>
      </c>
      <c r="Q175" s="18">
        <f>SUM(Q167+Q170+Q173)</f>
        <v>0</v>
      </c>
      <c r="R175" s="17">
        <f>SUM(R167+R170+R173)</f>
        <v>0</v>
      </c>
      <c r="S175" s="18"/>
      <c r="T175" s="100" t="str">
        <f>'50% Exceedance Baseline'!T175</f>
        <v>Subtotal of all inputs in Touchet Confluence to Pierce RV reach</v>
      </c>
    </row>
    <row r="176" spans="2:20" ht="15.75" thickBot="1" x14ac:dyDescent="0.3">
      <c r="B176" s="96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3"/>
      <c r="S176" s="118"/>
    </row>
    <row r="177" spans="2:21" s="64" customFormat="1" ht="15.75" thickBot="1" x14ac:dyDescent="0.3">
      <c r="B177" s="70" t="s">
        <v>69</v>
      </c>
      <c r="C177" s="69">
        <f>'50% Exceedance Baseline'!C177</f>
        <v>-0.223</v>
      </c>
      <c r="D177" s="69">
        <f>'50% Exceedance Baseline'!D177</f>
        <v>-0.223</v>
      </c>
      <c r="E177" s="69">
        <f>'50% Exceedance Baseline'!E177</f>
        <v>-0.223</v>
      </c>
      <c r="F177" s="69">
        <f>'50% Exceedance Baseline'!F177</f>
        <v>-0.223</v>
      </c>
      <c r="G177" s="69">
        <f>'50% Exceedance Baseline'!G177</f>
        <v>-0.223</v>
      </c>
      <c r="H177" s="69">
        <f>'50% Exceedance Baseline'!H177</f>
        <v>-0.223</v>
      </c>
      <c r="I177" s="69">
        <f>'50% Exceedance Baseline'!I177</f>
        <v>-0.17299999999999999</v>
      </c>
      <c r="J177" s="69">
        <f>'50% Exceedance Baseline'!J177</f>
        <v>-0.17299999999999999</v>
      </c>
      <c r="K177" s="69">
        <f>'50% Exceedance Baseline'!K177</f>
        <v>-0.36899999999999999</v>
      </c>
      <c r="L177" s="69">
        <f>'50% Exceedance Baseline'!L177</f>
        <v>-0.36899999999999999</v>
      </c>
      <c r="M177" s="82">
        <f>'50% Exceedance Baseline'!M177</f>
        <v>0.35</v>
      </c>
      <c r="N177" s="82">
        <f>'50% Exceedance Baseline'!N177</f>
        <v>0.35</v>
      </c>
      <c r="O177" s="82">
        <f>'50% Exceedance Baseline'!O177</f>
        <v>0.32</v>
      </c>
      <c r="P177" s="82">
        <f>'50% Exceedance Baseline'!P177</f>
        <v>0.32</v>
      </c>
      <c r="Q177" s="82">
        <f>'50% Exceedance Baseline'!Q177</f>
        <v>0.32</v>
      </c>
      <c r="R177" s="82">
        <f>'50% Exceedance Baseline'!R177</f>
        <v>0.32</v>
      </c>
      <c r="S177" s="107"/>
      <c r="T177" s="100" t="str">
        <f>'50% Exceedance Baseline'!T177</f>
        <v>Percentage total inputs lost or gained due to streambed hydrology (2002-2015 WWBWC seepage data)</v>
      </c>
      <c r="U177" s="83"/>
    </row>
    <row r="178" spans="2:21" x14ac:dyDescent="0.25">
      <c r="B178" s="84" t="s">
        <v>20</v>
      </c>
      <c r="C178" s="57">
        <f>SUM(C175+C159)*(1+C177)</f>
        <v>0</v>
      </c>
      <c r="D178" s="57">
        <f t="shared" ref="D178:N178" si="107">SUM(D175+D159)*(1+D177)</f>
        <v>0</v>
      </c>
      <c r="E178" s="57">
        <f t="shared" si="107"/>
        <v>0</v>
      </c>
      <c r="F178" s="57">
        <f t="shared" si="107"/>
        <v>45.129654885125156</v>
      </c>
      <c r="G178" s="57">
        <f t="shared" si="107"/>
        <v>89.43411599964071</v>
      </c>
      <c r="H178" s="57">
        <f t="shared" si="107"/>
        <v>53.303517737454591</v>
      </c>
      <c r="I178" s="57">
        <f t="shared" si="107"/>
        <v>41.220633482029548</v>
      </c>
      <c r="J178" s="57">
        <f t="shared" si="107"/>
        <v>40.640061179465754</v>
      </c>
      <c r="K178" s="57">
        <f t="shared" si="107"/>
        <v>25.698082557600468</v>
      </c>
      <c r="L178" s="57">
        <f t="shared" si="107"/>
        <v>26.783917031865279</v>
      </c>
      <c r="M178" s="57">
        <f t="shared" si="107"/>
        <v>54.10336745131702</v>
      </c>
      <c r="N178" s="57">
        <f t="shared" si="107"/>
        <v>54.910880398351594</v>
      </c>
      <c r="O178" s="57">
        <f>SUM(O175+O159)*(1+O177)</f>
        <v>57.409051319465995</v>
      </c>
      <c r="P178" s="57">
        <f>SUM(P175+P159)*(1+P177)</f>
        <v>59.705413372244635</v>
      </c>
      <c r="Q178" s="57">
        <f>SUM(Q175+Q159)*(1+Q177)</f>
        <v>45.312517569309563</v>
      </c>
      <c r="R178" s="58">
        <f>SUM(R175+R159)*(1+R177)</f>
        <v>32.19573616766732</v>
      </c>
      <c r="S178" s="110"/>
      <c r="T178" s="100" t="str">
        <f>'50% Exceedance Baseline'!T178</f>
        <v>Total of all upstream input flow adjusted for streambed loss or gain</v>
      </c>
    </row>
    <row r="179" spans="2:21" ht="15.75" thickBot="1" x14ac:dyDescent="0.3">
      <c r="B179" s="71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3"/>
      <c r="S179" s="110"/>
    </row>
    <row r="180" spans="2:21" ht="15.75" thickBot="1" x14ac:dyDescent="0.3">
      <c r="B180" s="24" t="s">
        <v>59</v>
      </c>
      <c r="C180" s="123">
        <f>'50% Exceedance Baseline'!C180</f>
        <v>817.29318639999997</v>
      </c>
      <c r="D180" s="123">
        <f>'50% Exceedance Baseline'!D180</f>
        <v>453.71796180000001</v>
      </c>
      <c r="E180" s="123">
        <f>'50% Exceedance Baseline'!E180</f>
        <v>311.46826600000003</v>
      </c>
      <c r="F180" s="123">
        <f>'50% Exceedance Baseline'!F180</f>
        <v>178.5945208</v>
      </c>
      <c r="G180" s="123">
        <f>'50% Exceedance Baseline'!G180</f>
        <v>66.637754389999998</v>
      </c>
      <c r="H180" s="123">
        <f>'50% Exceedance Baseline'!H180</f>
        <v>74.634975069999996</v>
      </c>
      <c r="I180" s="123">
        <f>'50% Exceedance Baseline'!I180</f>
        <v>53.302876220000002</v>
      </c>
      <c r="J180" s="123">
        <f>'50% Exceedance Baseline'!J180</f>
        <v>21.727313259999999</v>
      </c>
      <c r="K180" s="123">
        <f>'50% Exceedance Baseline'!K180</f>
        <v>12.124025250000001</v>
      </c>
      <c r="L180" s="123">
        <f>'50% Exceedance Baseline'!L180</f>
        <v>12.608929659999999</v>
      </c>
      <c r="M180" s="123">
        <f>'50% Exceedance Baseline'!M180</f>
        <v>32.104196039999998</v>
      </c>
      <c r="N180" s="123">
        <f>'50% Exceedance Baseline'!N180</f>
        <v>32.17305451</v>
      </c>
      <c r="O180" s="123">
        <f>'50% Exceedance Baseline'!O180</f>
        <v>29.227449570000001</v>
      </c>
      <c r="P180" s="123">
        <f>'50% Exceedance Baseline'!P180</f>
        <v>51.32660954</v>
      </c>
      <c r="Q180" s="123">
        <f>'50% Exceedance Baseline'!Q180</f>
        <v>95.708311359999996</v>
      </c>
      <c r="R180" s="123">
        <f>'50% Exceedance Baseline'!R180</f>
        <v>171.41622050000001</v>
      </c>
      <c r="S180" s="27"/>
      <c r="T180" s="100" t="str">
        <f>'50% Exceedance Baseline'!T180</f>
        <v>Median flow data at S-125 gage (2013-2016)</v>
      </c>
    </row>
    <row r="181" spans="2:21" x14ac:dyDescent="0.25">
      <c r="B181" s="47" t="s">
        <v>42</v>
      </c>
      <c r="C181" s="48">
        <f>C180+C178</f>
        <v>817.29318639999997</v>
      </c>
      <c r="D181" s="48">
        <f t="shared" ref="D181:E181" si="108">D180+D178</f>
        <v>453.71796180000001</v>
      </c>
      <c r="E181" s="48">
        <f t="shared" si="108"/>
        <v>311.46826600000003</v>
      </c>
      <c r="F181" s="48">
        <f>F180+F178</f>
        <v>223.72417568512515</v>
      </c>
      <c r="G181" s="48">
        <f t="shared" ref="G181:H181" si="109">G180+G178</f>
        <v>156.07187038964071</v>
      </c>
      <c r="H181" s="48">
        <f t="shared" si="109"/>
        <v>127.93849280745459</v>
      </c>
      <c r="I181" s="48">
        <f>I180+I178</f>
        <v>94.523509702029543</v>
      </c>
      <c r="J181" s="48">
        <f t="shared" ref="J181:N181" si="110">J180+J178</f>
        <v>62.367374439465749</v>
      </c>
      <c r="K181" s="48">
        <f t="shared" si="110"/>
        <v>37.822107807600467</v>
      </c>
      <c r="L181" s="48">
        <f t="shared" si="110"/>
        <v>39.39284669186528</v>
      </c>
      <c r="M181" s="48">
        <f t="shared" si="110"/>
        <v>86.207563491317018</v>
      </c>
      <c r="N181" s="48">
        <f t="shared" si="110"/>
        <v>87.083934908351594</v>
      </c>
      <c r="O181" s="48">
        <f>O180+O178</f>
        <v>86.636500889465992</v>
      </c>
      <c r="P181" s="48">
        <f>P180+P178</f>
        <v>111.03202291224463</v>
      </c>
      <c r="Q181" s="48">
        <f>Q180+Q178</f>
        <v>141.02082892930957</v>
      </c>
      <c r="R181" s="49">
        <f>R180+R178</f>
        <v>203.61195666766733</v>
      </c>
      <c r="S181" s="111"/>
      <c r="T181" s="100" t="str">
        <f>'50% Exceedance Baseline'!T181</f>
        <v>Flow gage data plus cumulative inputs adjusted for streambed loss or gain</v>
      </c>
    </row>
    <row r="182" spans="2:21" x14ac:dyDescent="0.25">
      <c r="B182" s="10" t="s">
        <v>8</v>
      </c>
      <c r="C182" s="8">
        <f>$C$16</f>
        <v>150</v>
      </c>
      <c r="D182" s="8">
        <f>$D$16</f>
        <v>150</v>
      </c>
      <c r="E182" s="8">
        <f>$E$16</f>
        <v>150</v>
      </c>
      <c r="F182" s="8">
        <f>$F$16</f>
        <v>150</v>
      </c>
      <c r="G182" s="8">
        <f>$G$16</f>
        <v>150</v>
      </c>
      <c r="H182" s="8">
        <f>$H$16</f>
        <v>100</v>
      </c>
      <c r="I182" s="8">
        <f>$I$16</f>
        <v>65</v>
      </c>
      <c r="J182" s="8">
        <f>$J$16</f>
        <v>65</v>
      </c>
      <c r="K182" s="8">
        <f>$K$16</f>
        <v>65</v>
      </c>
      <c r="L182" s="8">
        <f>$L$16</f>
        <v>65</v>
      </c>
      <c r="M182" s="8">
        <f>$M$16</f>
        <v>65</v>
      </c>
      <c r="N182" s="8">
        <f>$N$16</f>
        <v>65</v>
      </c>
      <c r="O182" s="8">
        <f>$O$16</f>
        <v>65</v>
      </c>
      <c r="P182" s="8">
        <f>$P$16</f>
        <v>65</v>
      </c>
      <c r="Q182" s="8">
        <f>$Q$16</f>
        <v>65</v>
      </c>
      <c r="R182" s="9">
        <f>$R$16</f>
        <v>65</v>
      </c>
      <c r="S182" s="112"/>
      <c r="T182" s="100" t="str">
        <f>'50% Exceedance Baseline'!T182</f>
        <v>Target flows</v>
      </c>
    </row>
    <row r="183" spans="2:21" ht="15.75" thickBot="1" x14ac:dyDescent="0.3">
      <c r="B183" s="37" t="s">
        <v>17</v>
      </c>
      <c r="C183" s="38">
        <f>IF(C181&gt;C182,0,(C182-C181)*-1)</f>
        <v>0</v>
      </c>
      <c r="D183" s="38">
        <f t="shared" ref="D183:E183" si="111">IF(D181&gt;D182,0,(D182-D181)*-1)</f>
        <v>0</v>
      </c>
      <c r="E183" s="38">
        <f t="shared" si="111"/>
        <v>0</v>
      </c>
      <c r="F183" s="38">
        <f>IF(F181&gt;F182,0,(F182-F181)*-1)</f>
        <v>0</v>
      </c>
      <c r="G183" s="38">
        <f>IF(G181&gt;G182,0,(G182-G181)*-1)</f>
        <v>0</v>
      </c>
      <c r="H183" s="38">
        <f>IF(H181&gt;H182,0,(H182-H181)*-1)</f>
        <v>0</v>
      </c>
      <c r="I183" s="38">
        <f t="shared" ref="I183:N183" si="112">IF(I181&gt;I182,0,(I182-I181)*-1)</f>
        <v>0</v>
      </c>
      <c r="J183" s="38">
        <f>IF(J181&gt;J182,0,(J182-J181)*-1)</f>
        <v>-2.632625560534251</v>
      </c>
      <c r="K183" s="38">
        <f t="shared" si="112"/>
        <v>-27.177892192399533</v>
      </c>
      <c r="L183" s="38">
        <f t="shared" si="112"/>
        <v>-25.60715330813472</v>
      </c>
      <c r="M183" s="38">
        <f t="shared" si="112"/>
        <v>0</v>
      </c>
      <c r="N183" s="38">
        <f t="shared" si="112"/>
        <v>0</v>
      </c>
      <c r="O183" s="38">
        <f>IF(O181&gt;O182,0,(O182-O181)*-1)</f>
        <v>0</v>
      </c>
      <c r="P183" s="38">
        <f>IF(P181&gt;P182,0,(P182-P181)*-1)</f>
        <v>0</v>
      </c>
      <c r="Q183" s="38">
        <f>IF(Q181&gt;Q182,0,(Q182-Q181)*-1)</f>
        <v>0</v>
      </c>
      <c r="R183" s="39">
        <f>IF(R181&gt;R182,0,(R182-R181)*-1)</f>
        <v>0</v>
      </c>
      <c r="S183" s="105"/>
      <c r="T183" s="100" t="str">
        <f>'50% Exceedance Baseline'!T183</f>
        <v>Deficit between target flows and flow gage data plus total adjusted inputs</v>
      </c>
    </row>
    <row r="184" spans="2:21" x14ac:dyDescent="0.2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115"/>
    </row>
    <row r="185" spans="2:21" x14ac:dyDescent="0.25">
      <c r="B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2"/>
      <c r="U185" s="1"/>
    </row>
    <row r="186" spans="2:21" x14ac:dyDescent="0.25">
      <c r="B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2"/>
      <c r="U186" s="1"/>
    </row>
    <row r="187" spans="2:21" x14ac:dyDescent="0.25">
      <c r="B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2"/>
      <c r="U187" s="1"/>
    </row>
    <row r="188" spans="2:21" x14ac:dyDescent="0.25">
      <c r="B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2"/>
      <c r="U188" s="1"/>
    </row>
    <row r="189" spans="2:21" x14ac:dyDescent="0.25">
      <c r="B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2"/>
      <c r="U189" s="1"/>
    </row>
    <row r="190" spans="2:21" x14ac:dyDescent="0.25">
      <c r="B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2"/>
      <c r="U190" s="1"/>
    </row>
    <row r="191" spans="2:21" x14ac:dyDescent="0.25">
      <c r="B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2"/>
      <c r="U191" s="1"/>
    </row>
    <row r="192" spans="2:21" x14ac:dyDescent="0.25">
      <c r="B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2"/>
      <c r="U192" s="1"/>
    </row>
    <row r="193" spans="2:21" x14ac:dyDescent="0.25">
      <c r="B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2"/>
      <c r="U193" s="1"/>
    </row>
    <row r="194" spans="2:21" x14ac:dyDescent="0.25">
      <c r="B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2"/>
      <c r="U194" s="1"/>
    </row>
    <row r="195" spans="2:21" x14ac:dyDescent="0.25">
      <c r="B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2"/>
      <c r="U195" s="1"/>
    </row>
    <row r="196" spans="2:21" x14ac:dyDescent="0.25">
      <c r="B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2"/>
      <c r="U196" s="1"/>
    </row>
    <row r="197" spans="2:21" x14ac:dyDescent="0.25">
      <c r="B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2"/>
      <c r="U197" s="1"/>
    </row>
    <row r="198" spans="2:21" x14ac:dyDescent="0.25">
      <c r="B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2"/>
      <c r="U198" s="1"/>
    </row>
    <row r="199" spans="2:21" x14ac:dyDescent="0.25">
      <c r="B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2"/>
      <c r="U199" s="1"/>
    </row>
    <row r="200" spans="2:21" x14ac:dyDescent="0.25">
      <c r="B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2"/>
      <c r="U200" s="1"/>
    </row>
    <row r="201" spans="2:21" x14ac:dyDescent="0.25">
      <c r="B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2"/>
      <c r="U201" s="1"/>
    </row>
    <row r="202" spans="2:21" x14ac:dyDescent="0.25">
      <c r="B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2"/>
      <c r="U202" s="1"/>
    </row>
  </sheetData>
  <mergeCells count="8">
    <mergeCell ref="O6:P6"/>
    <mergeCell ref="Q6:R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02"/>
  <sheetViews>
    <sheetView zoomScale="86" zoomScaleNormal="86" zoomScalePageLayoutView="125" workbookViewId="0">
      <pane ySplit="17" topLeftCell="A33" activePane="bottomLeft" state="frozen"/>
      <selection pane="bottomLeft" activeCell="K134" sqref="K134"/>
    </sheetView>
  </sheetViews>
  <sheetFormatPr defaultColWidth="8.85546875" defaultRowHeight="15" x14ac:dyDescent="0.25"/>
  <cols>
    <col min="1" max="1" width="4.85546875" style="1" customWidth="1"/>
    <col min="2" max="2" width="56.28515625" style="1" customWidth="1"/>
    <col min="3" max="5" width="8.85546875" style="3" customWidth="1"/>
    <col min="6" max="18" width="8.85546875" style="3"/>
    <col min="19" max="19" width="8.85546875" style="13"/>
    <col min="20" max="20" width="10.140625" style="100" customWidth="1"/>
    <col min="21" max="21" width="8.85546875" style="3"/>
    <col min="22" max="22" width="9" style="1" customWidth="1"/>
    <col min="23" max="23" width="8.85546875" style="1"/>
    <col min="24" max="24" width="18" style="1" customWidth="1"/>
    <col min="25" max="16384" width="8.85546875" style="1"/>
  </cols>
  <sheetData>
    <row r="1" spans="2:25" ht="15.75" thickBot="1" x14ac:dyDescent="0.3"/>
    <row r="2" spans="2:25" x14ac:dyDescent="0.25">
      <c r="B2" s="144" t="s">
        <v>68</v>
      </c>
    </row>
    <row r="3" spans="2:25" x14ac:dyDescent="0.25">
      <c r="B3" s="130" t="s">
        <v>138</v>
      </c>
    </row>
    <row r="4" spans="2:25" ht="18.75" x14ac:dyDescent="0.3">
      <c r="B4" s="74" t="s">
        <v>117</v>
      </c>
      <c r="J4" s="125" t="s">
        <v>106</v>
      </c>
    </row>
    <row r="5" spans="2:25" ht="15.75" thickBot="1" x14ac:dyDescent="0.3">
      <c r="B5" s="134" t="s">
        <v>114</v>
      </c>
    </row>
    <row r="6" spans="2:25" ht="15.75" thickBot="1" x14ac:dyDescent="0.3">
      <c r="B6" s="33"/>
      <c r="C6" s="165" t="s">
        <v>29</v>
      </c>
      <c r="D6" s="165"/>
      <c r="E6" s="165" t="s">
        <v>30</v>
      </c>
      <c r="F6" s="165"/>
      <c r="G6" s="165" t="s">
        <v>31</v>
      </c>
      <c r="H6" s="165"/>
      <c r="I6" s="165" t="s">
        <v>32</v>
      </c>
      <c r="J6" s="165"/>
      <c r="K6" s="165" t="s">
        <v>33</v>
      </c>
      <c r="L6" s="165"/>
      <c r="M6" s="165" t="s">
        <v>34</v>
      </c>
      <c r="N6" s="165"/>
      <c r="O6" s="165" t="s">
        <v>35</v>
      </c>
      <c r="P6" s="165"/>
      <c r="Q6" s="165" t="s">
        <v>105</v>
      </c>
      <c r="R6" s="165"/>
      <c r="S6" s="27"/>
    </row>
    <row r="7" spans="2:25" s="4" customFormat="1" x14ac:dyDescent="0.25">
      <c r="B7" s="51" t="s">
        <v>43</v>
      </c>
      <c r="C7" s="52">
        <f>C35</f>
        <v>0</v>
      </c>
      <c r="D7" s="52">
        <f t="shared" ref="D7:N7" si="0">D35</f>
        <v>0</v>
      </c>
      <c r="E7" s="52">
        <f t="shared" si="0"/>
        <v>0</v>
      </c>
      <c r="F7" s="52">
        <f t="shared" si="0"/>
        <v>0</v>
      </c>
      <c r="G7" s="52">
        <f t="shared" si="0"/>
        <v>0</v>
      </c>
      <c r="H7" s="52">
        <f t="shared" si="0"/>
        <v>0</v>
      </c>
      <c r="I7" s="52">
        <f t="shared" si="0"/>
        <v>0</v>
      </c>
      <c r="J7" s="52">
        <f t="shared" si="0"/>
        <v>0</v>
      </c>
      <c r="K7" s="52">
        <f t="shared" si="0"/>
        <v>0</v>
      </c>
      <c r="L7" s="52">
        <f t="shared" si="0"/>
        <v>0</v>
      </c>
      <c r="M7" s="52">
        <f t="shared" si="0"/>
        <v>0</v>
      </c>
      <c r="N7" s="52">
        <f t="shared" si="0"/>
        <v>0</v>
      </c>
      <c r="O7" s="52">
        <f>O35</f>
        <v>0</v>
      </c>
      <c r="P7" s="52">
        <f>P35</f>
        <v>0</v>
      </c>
      <c r="Q7" s="52">
        <f>Q35</f>
        <v>0</v>
      </c>
      <c r="R7" s="52">
        <f>R35</f>
        <v>0</v>
      </c>
      <c r="S7" s="105"/>
      <c r="T7" s="100"/>
      <c r="U7" s="155"/>
    </row>
    <row r="8" spans="2:25" s="4" customFormat="1" x14ac:dyDescent="0.25">
      <c r="B8" s="53" t="s">
        <v>44</v>
      </c>
      <c r="C8" s="54">
        <f>C58</f>
        <v>0</v>
      </c>
      <c r="D8" s="54">
        <f t="shared" ref="D8:N8" si="1">D58</f>
        <v>0</v>
      </c>
      <c r="E8" s="54">
        <f t="shared" si="1"/>
        <v>0</v>
      </c>
      <c r="F8" s="54">
        <f t="shared" si="1"/>
        <v>0</v>
      </c>
      <c r="G8" s="54">
        <f t="shared" si="1"/>
        <v>0</v>
      </c>
      <c r="H8" s="54">
        <f t="shared" si="1"/>
        <v>0</v>
      </c>
      <c r="I8" s="54">
        <f t="shared" si="1"/>
        <v>0</v>
      </c>
      <c r="J8" s="54">
        <f t="shared" si="1"/>
        <v>0</v>
      </c>
      <c r="K8" s="54">
        <f t="shared" si="1"/>
        <v>0</v>
      </c>
      <c r="L8" s="54">
        <f t="shared" si="1"/>
        <v>0</v>
      </c>
      <c r="M8" s="54">
        <f t="shared" si="1"/>
        <v>0</v>
      </c>
      <c r="N8" s="54">
        <f t="shared" si="1"/>
        <v>0</v>
      </c>
      <c r="O8" s="54">
        <f>O58</f>
        <v>0</v>
      </c>
      <c r="P8" s="54">
        <f>P58</f>
        <v>0</v>
      </c>
      <c r="Q8" s="54">
        <f>Q58</f>
        <v>0</v>
      </c>
      <c r="R8" s="54">
        <f>R58</f>
        <v>0</v>
      </c>
      <c r="S8" s="105"/>
      <c r="T8" s="100"/>
      <c r="U8" s="155"/>
    </row>
    <row r="9" spans="2:25" s="4" customFormat="1" x14ac:dyDescent="0.25">
      <c r="B9" s="53" t="s">
        <v>45</v>
      </c>
      <c r="C9" s="54">
        <f>C77</f>
        <v>0</v>
      </c>
      <c r="D9" s="54">
        <f t="shared" ref="D9:N9" si="2">D77</f>
        <v>0</v>
      </c>
      <c r="E9" s="54">
        <f t="shared" si="2"/>
        <v>0</v>
      </c>
      <c r="F9" s="54">
        <f t="shared" si="2"/>
        <v>0</v>
      </c>
      <c r="G9" s="54">
        <f t="shared" si="2"/>
        <v>0</v>
      </c>
      <c r="H9" s="54">
        <f t="shared" si="2"/>
        <v>0</v>
      </c>
      <c r="I9" s="54">
        <f t="shared" si="2"/>
        <v>0</v>
      </c>
      <c r="J9" s="54">
        <f t="shared" si="2"/>
        <v>0</v>
      </c>
      <c r="K9" s="54">
        <f t="shared" si="2"/>
        <v>0</v>
      </c>
      <c r="L9" s="54">
        <f t="shared" si="2"/>
        <v>0</v>
      </c>
      <c r="M9" s="54">
        <f t="shared" si="2"/>
        <v>0</v>
      </c>
      <c r="N9" s="54">
        <f t="shared" si="2"/>
        <v>0</v>
      </c>
      <c r="O9" s="54">
        <f>O77</f>
        <v>0</v>
      </c>
      <c r="P9" s="54">
        <f>P77</f>
        <v>0</v>
      </c>
      <c r="Q9" s="54">
        <f>Q77</f>
        <v>0</v>
      </c>
      <c r="R9" s="54">
        <f>R77</f>
        <v>0</v>
      </c>
      <c r="S9" s="105"/>
      <c r="T9" s="100"/>
      <c r="U9" s="155"/>
    </row>
    <row r="10" spans="2:25" s="4" customFormat="1" x14ac:dyDescent="0.25">
      <c r="B10" s="53" t="s">
        <v>46</v>
      </c>
      <c r="C10" s="54">
        <f>C101</f>
        <v>0</v>
      </c>
      <c r="D10" s="54">
        <f t="shared" ref="D10:N10" si="3">D101</f>
        <v>0</v>
      </c>
      <c r="E10" s="54">
        <f t="shared" si="3"/>
        <v>0</v>
      </c>
      <c r="F10" s="54">
        <f t="shared" si="3"/>
        <v>0</v>
      </c>
      <c r="G10" s="54">
        <f t="shared" si="3"/>
        <v>0</v>
      </c>
      <c r="H10" s="54">
        <f t="shared" si="3"/>
        <v>0</v>
      </c>
      <c r="I10" s="54">
        <f t="shared" si="3"/>
        <v>0</v>
      </c>
      <c r="J10" s="54">
        <f t="shared" si="3"/>
        <v>0</v>
      </c>
      <c r="K10" s="54">
        <f t="shared" si="3"/>
        <v>0</v>
      </c>
      <c r="L10" s="54">
        <f t="shared" si="3"/>
        <v>0</v>
      </c>
      <c r="M10" s="54">
        <f t="shared" si="3"/>
        <v>0</v>
      </c>
      <c r="N10" s="54">
        <f t="shared" si="3"/>
        <v>0</v>
      </c>
      <c r="O10" s="54">
        <f>O101</f>
        <v>0</v>
      </c>
      <c r="P10" s="54">
        <f>P101</f>
        <v>0</v>
      </c>
      <c r="Q10" s="54">
        <f>Q101</f>
        <v>0</v>
      </c>
      <c r="R10" s="54">
        <f>R101</f>
        <v>0</v>
      </c>
      <c r="S10" s="105"/>
      <c r="T10" s="100"/>
      <c r="U10" s="155"/>
    </row>
    <row r="11" spans="2:25" s="4" customFormat="1" x14ac:dyDescent="0.25">
      <c r="B11" s="53" t="s">
        <v>47</v>
      </c>
      <c r="C11" s="54">
        <f>C122</f>
        <v>0</v>
      </c>
      <c r="D11" s="54">
        <f t="shared" ref="D11:N11" si="4">D122</f>
        <v>0</v>
      </c>
      <c r="E11" s="54">
        <f t="shared" si="4"/>
        <v>0</v>
      </c>
      <c r="F11" s="54">
        <f t="shared" si="4"/>
        <v>0</v>
      </c>
      <c r="G11" s="54">
        <f t="shared" si="4"/>
        <v>0</v>
      </c>
      <c r="H11" s="54">
        <f t="shared" si="4"/>
        <v>0</v>
      </c>
      <c r="I11" s="54">
        <f t="shared" si="4"/>
        <v>0</v>
      </c>
      <c r="J11" s="54">
        <f t="shared" si="4"/>
        <v>0</v>
      </c>
      <c r="K11" s="54">
        <f t="shared" si="4"/>
        <v>0</v>
      </c>
      <c r="L11" s="54">
        <f t="shared" si="4"/>
        <v>0</v>
      </c>
      <c r="M11" s="54">
        <f t="shared" si="4"/>
        <v>0</v>
      </c>
      <c r="N11" s="54">
        <f t="shared" si="4"/>
        <v>0</v>
      </c>
      <c r="O11" s="54">
        <f>O122</f>
        <v>0</v>
      </c>
      <c r="P11" s="54">
        <f>P122</f>
        <v>0</v>
      </c>
      <c r="Q11" s="54">
        <f>Q122</f>
        <v>0</v>
      </c>
      <c r="R11" s="54">
        <f>R122</f>
        <v>0</v>
      </c>
      <c r="S11" s="105"/>
      <c r="T11" s="100"/>
      <c r="U11" s="142"/>
    </row>
    <row r="12" spans="2:25" s="4" customFormat="1" x14ac:dyDescent="0.25">
      <c r="B12" s="53" t="s">
        <v>48</v>
      </c>
      <c r="C12" s="54">
        <f>C143</f>
        <v>0</v>
      </c>
      <c r="D12" s="54">
        <f t="shared" ref="D12:N12" si="5">D143</f>
        <v>0</v>
      </c>
      <c r="E12" s="54">
        <f t="shared" si="5"/>
        <v>0</v>
      </c>
      <c r="F12" s="54">
        <f t="shared" si="5"/>
        <v>0</v>
      </c>
      <c r="G12" s="54">
        <f t="shared" si="5"/>
        <v>-11.953285676640007</v>
      </c>
      <c r="H12" s="54">
        <f t="shared" si="5"/>
        <v>-3.5495558582000228</v>
      </c>
      <c r="I12" s="54">
        <f t="shared" si="5"/>
        <v>0</v>
      </c>
      <c r="J12" s="54">
        <f t="shared" si="5"/>
        <v>0</v>
      </c>
      <c r="K12" s="54">
        <f t="shared" si="5"/>
        <v>-2.2127900611878459</v>
      </c>
      <c r="L12" s="54">
        <f t="shared" si="5"/>
        <v>-11.956156239547894</v>
      </c>
      <c r="M12" s="54">
        <f t="shared" si="5"/>
        <v>0</v>
      </c>
      <c r="N12" s="54">
        <f t="shared" si="5"/>
        <v>0</v>
      </c>
      <c r="O12" s="54">
        <f>O143</f>
        <v>0</v>
      </c>
      <c r="P12" s="54">
        <f>P143</f>
        <v>0</v>
      </c>
      <c r="Q12" s="54">
        <f>Q143</f>
        <v>0</v>
      </c>
      <c r="R12" s="54">
        <f>R143</f>
        <v>0</v>
      </c>
      <c r="S12" s="105"/>
      <c r="T12" s="100"/>
      <c r="U12" s="142"/>
    </row>
    <row r="13" spans="2:25" s="4" customFormat="1" x14ac:dyDescent="0.25">
      <c r="B13" s="53" t="s">
        <v>70</v>
      </c>
      <c r="C13" s="54">
        <f>C164</f>
        <v>0</v>
      </c>
      <c r="D13" s="54">
        <f t="shared" ref="D13:N13" si="6">D164</f>
        <v>0</v>
      </c>
      <c r="E13" s="54">
        <f t="shared" si="6"/>
        <v>0</v>
      </c>
      <c r="F13" s="54">
        <f t="shared" si="6"/>
        <v>0</v>
      </c>
      <c r="G13" s="54">
        <f t="shared" si="6"/>
        <v>0</v>
      </c>
      <c r="H13" s="54">
        <f t="shared" si="6"/>
        <v>0</v>
      </c>
      <c r="I13" s="54">
        <f t="shared" si="6"/>
        <v>0</v>
      </c>
      <c r="J13" s="54">
        <f t="shared" si="6"/>
        <v>0</v>
      </c>
      <c r="K13" s="54">
        <f t="shared" si="6"/>
        <v>0</v>
      </c>
      <c r="L13" s="54">
        <f t="shared" si="6"/>
        <v>-8.5532218195478933</v>
      </c>
      <c r="M13" s="54">
        <f t="shared" si="6"/>
        <v>0</v>
      </c>
      <c r="N13" s="54">
        <f t="shared" si="6"/>
        <v>0</v>
      </c>
      <c r="O13" s="54">
        <f>O164</f>
        <v>0</v>
      </c>
      <c r="P13" s="54">
        <f>P164</f>
        <v>0</v>
      </c>
      <c r="Q13" s="54">
        <f>Q164</f>
        <v>0</v>
      </c>
      <c r="R13" s="54">
        <f>R164</f>
        <v>0</v>
      </c>
      <c r="S13" s="105"/>
      <c r="T13" s="100"/>
      <c r="U13" s="155"/>
    </row>
    <row r="14" spans="2:25" s="4" customFormat="1" ht="15.75" thickBot="1" x14ac:dyDescent="0.3">
      <c r="B14" s="55" t="s">
        <v>49</v>
      </c>
      <c r="C14" s="56">
        <f>C183</f>
        <v>0</v>
      </c>
      <c r="D14" s="56">
        <f t="shared" ref="D14:N14" si="7">D183</f>
        <v>0</v>
      </c>
      <c r="E14" s="56">
        <f t="shared" si="7"/>
        <v>0</v>
      </c>
      <c r="F14" s="56">
        <f t="shared" si="7"/>
        <v>0</v>
      </c>
      <c r="G14" s="56">
        <f t="shared" si="7"/>
        <v>0</v>
      </c>
      <c r="H14" s="56">
        <f t="shared" si="7"/>
        <v>0</v>
      </c>
      <c r="I14" s="56">
        <f t="shared" si="7"/>
        <v>0</v>
      </c>
      <c r="J14" s="56">
        <f t="shared" si="7"/>
        <v>0</v>
      </c>
      <c r="K14" s="56">
        <f t="shared" si="7"/>
        <v>-20.128360192399526</v>
      </c>
      <c r="L14" s="56">
        <f t="shared" si="7"/>
        <v>-25.60715330813472</v>
      </c>
      <c r="M14" s="56">
        <f t="shared" si="7"/>
        <v>0</v>
      </c>
      <c r="N14" s="56">
        <f t="shared" si="7"/>
        <v>0</v>
      </c>
      <c r="O14" s="56">
        <f>O183</f>
        <v>0</v>
      </c>
      <c r="P14" s="56">
        <f>P183</f>
        <v>0</v>
      </c>
      <c r="Q14" s="56">
        <f>Q183</f>
        <v>0</v>
      </c>
      <c r="R14" s="56">
        <f>R183</f>
        <v>0</v>
      </c>
      <c r="S14" s="105"/>
      <c r="T14" s="101" t="s">
        <v>131</v>
      </c>
      <c r="U14" s="31"/>
      <c r="V14" s="32"/>
      <c r="W14" s="32"/>
      <c r="X14" s="146">
        <f>SUM(U44,U47,U111,U129)+3000-(U41+U105+U126)</f>
        <v>28587.150000000005</v>
      </c>
      <c r="Y14" s="11" t="s">
        <v>125</v>
      </c>
    </row>
    <row r="15" spans="2:25" ht="15.75" thickBot="1" x14ac:dyDescent="0.3">
      <c r="T15" s="145" t="s">
        <v>129</v>
      </c>
      <c r="U15" s="147"/>
      <c r="V15" s="148"/>
      <c r="W15" s="148"/>
      <c r="X15" s="149">
        <f>SUM(X14)</f>
        <v>28587.150000000005</v>
      </c>
    </row>
    <row r="16" spans="2:25" s="4" customFormat="1" ht="15.75" thickBot="1" x14ac:dyDescent="0.3">
      <c r="B16" s="75" t="s">
        <v>107</v>
      </c>
      <c r="C16" s="45">
        <v>150</v>
      </c>
      <c r="D16" s="45">
        <v>150</v>
      </c>
      <c r="E16" s="45">
        <v>150</v>
      </c>
      <c r="F16" s="45">
        <v>150</v>
      </c>
      <c r="G16" s="45">
        <v>150</v>
      </c>
      <c r="H16" s="45">
        <v>100</v>
      </c>
      <c r="I16" s="45">
        <v>65</v>
      </c>
      <c r="J16" s="45">
        <v>65</v>
      </c>
      <c r="K16" s="45">
        <v>65</v>
      </c>
      <c r="L16" s="45">
        <v>65</v>
      </c>
      <c r="M16" s="45">
        <v>65</v>
      </c>
      <c r="N16" s="45">
        <v>65</v>
      </c>
      <c r="O16" s="45">
        <v>65</v>
      </c>
      <c r="P16" s="45">
        <v>65</v>
      </c>
      <c r="Q16" s="45">
        <v>65</v>
      </c>
      <c r="R16" s="45">
        <v>65</v>
      </c>
      <c r="S16" s="27"/>
      <c r="T16" s="150" t="s">
        <v>132</v>
      </c>
      <c r="U16" s="32"/>
      <c r="V16" s="32"/>
      <c r="W16" s="32"/>
      <c r="X16" s="146">
        <f>SUM(C7:R14)*15*1.9835</f>
        <v>-2498.0354651887119</v>
      </c>
    </row>
    <row r="17" spans="2:21" s="28" customFormat="1" x14ac:dyDescent="0.25">
      <c r="B17" s="7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02"/>
      <c r="U17" s="27"/>
    </row>
    <row r="18" spans="2:21" s="4" customFormat="1" ht="15.75" thickBot="1" x14ac:dyDescent="0.3">
      <c r="B18" s="77" t="s">
        <v>50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101" t="str">
        <f>'50% Exceedance Baseline'!T18</f>
        <v>NOTES</v>
      </c>
      <c r="U18" s="155"/>
    </row>
    <row r="19" spans="2:21" s="11" customFormat="1" ht="15.75" thickBot="1" x14ac:dyDescent="0.3">
      <c r="B19" s="78" t="s">
        <v>5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121">
        <v>0</v>
      </c>
      <c r="R19" s="46">
        <v>0</v>
      </c>
      <c r="S19" s="105"/>
      <c r="T19" s="100" t="str">
        <f>'50% Exceedance Baseline'!T19</f>
        <v>Flow input above Mgt. Pt. 1</v>
      </c>
      <c r="U19" s="8"/>
    </row>
    <row r="20" spans="2:21" s="11" customFormat="1" x14ac:dyDescent="0.25">
      <c r="B20" s="79" t="s">
        <v>7</v>
      </c>
      <c r="C20" s="16">
        <f>IF(C34&gt;C33,((C34-C33)*-1),((C33-C34)))</f>
        <v>315.58645360000003</v>
      </c>
      <c r="D20" s="16">
        <f t="shared" ref="D20:E20" si="8">IF(D34&gt;D33,((D34-D33)*-1),((D33-D34)))</f>
        <v>250.7977975</v>
      </c>
      <c r="E20" s="16">
        <f t="shared" si="8"/>
        <v>234.0911236</v>
      </c>
      <c r="F20" s="16">
        <f>IF(F34&gt;F33,((F34-F33)*-1),((F33-F34)))</f>
        <v>105.40185410000001</v>
      </c>
      <c r="G20" s="16">
        <f>IF(G34&gt;G33,((G34-G33)*-1),((G33-G34)))</f>
        <v>72.051147100000009</v>
      </c>
      <c r="H20" s="16">
        <f t="shared" ref="H20:R20" si="9">IF(H34&gt;H33,((H34-H33)*-1),((H33-H34)))</f>
        <v>74.015495399999992</v>
      </c>
      <c r="I20" s="16">
        <f t="shared" si="9"/>
        <v>64.093295299999994</v>
      </c>
      <c r="J20" s="16">
        <f t="shared" si="9"/>
        <v>43.301793500000002</v>
      </c>
      <c r="K20" s="16">
        <f t="shared" si="9"/>
        <v>36.390017099999994</v>
      </c>
      <c r="L20" s="16">
        <f t="shared" si="9"/>
        <v>34.097356379999994</v>
      </c>
      <c r="M20" s="16">
        <f t="shared" si="9"/>
        <v>35.555049600000004</v>
      </c>
      <c r="N20" s="16">
        <f t="shared" si="9"/>
        <v>40.275458499999999</v>
      </c>
      <c r="O20" s="16">
        <f t="shared" si="9"/>
        <v>44.218186099999997</v>
      </c>
      <c r="P20" s="16">
        <f t="shared" si="9"/>
        <v>44.636585600000004</v>
      </c>
      <c r="Q20" s="16">
        <f t="shared" si="9"/>
        <v>49.726156500000002</v>
      </c>
      <c r="R20" s="14">
        <f t="shared" si="9"/>
        <v>64.693781599999994</v>
      </c>
      <c r="S20" s="18"/>
      <c r="T20" s="100" t="str">
        <f>'50% Exceedance Baseline'!T20</f>
        <v>Flow target surplus or deficit after input</v>
      </c>
      <c r="U20" s="8"/>
    </row>
    <row r="21" spans="2:21" s="11" customFormat="1" ht="15.75" thickBot="1" x14ac:dyDescent="0.3">
      <c r="B21" s="8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7"/>
      <c r="S21" s="18"/>
      <c r="T21" s="100"/>
      <c r="U21" s="8"/>
    </row>
    <row r="22" spans="2:21" ht="15.75" thickBot="1" x14ac:dyDescent="0.3">
      <c r="B22" s="73" t="s">
        <v>6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121">
        <v>0</v>
      </c>
      <c r="R22" s="46">
        <v>0</v>
      </c>
      <c r="S22" s="105"/>
      <c r="T22" s="100" t="str">
        <f>'50% Exceedance Baseline'!T22</f>
        <v>Flow input above Mgt. Pt. 1</v>
      </c>
    </row>
    <row r="23" spans="2:21" s="4" customFormat="1" x14ac:dyDescent="0.25">
      <c r="B23" s="79" t="s">
        <v>7</v>
      </c>
      <c r="C23" s="16">
        <f>IF(C34&gt;C33,((C34-C33)*-1),((C33-C34)))</f>
        <v>315.58645360000003</v>
      </c>
      <c r="D23" s="16">
        <f t="shared" ref="D23:R23" si="10">IF(D34&gt;D33,((D34-D33)*-1),((D33-D34)))</f>
        <v>250.7977975</v>
      </c>
      <c r="E23" s="16">
        <f t="shared" si="10"/>
        <v>234.0911236</v>
      </c>
      <c r="F23" s="16">
        <f t="shared" si="10"/>
        <v>105.40185410000001</v>
      </c>
      <c r="G23" s="16">
        <f t="shared" si="10"/>
        <v>72.051147100000009</v>
      </c>
      <c r="H23" s="16">
        <f t="shared" si="10"/>
        <v>74.015495399999992</v>
      </c>
      <c r="I23" s="16">
        <f t="shared" si="10"/>
        <v>64.093295299999994</v>
      </c>
      <c r="J23" s="16">
        <f t="shared" si="10"/>
        <v>43.301793500000002</v>
      </c>
      <c r="K23" s="16">
        <f t="shared" si="10"/>
        <v>36.390017099999994</v>
      </c>
      <c r="L23" s="16">
        <f t="shared" si="10"/>
        <v>34.097356379999994</v>
      </c>
      <c r="M23" s="16">
        <f t="shared" si="10"/>
        <v>35.555049600000004</v>
      </c>
      <c r="N23" s="16">
        <f t="shared" si="10"/>
        <v>40.275458499999999</v>
      </c>
      <c r="O23" s="16">
        <f t="shared" si="10"/>
        <v>44.218186099999997</v>
      </c>
      <c r="P23" s="16">
        <f t="shared" si="10"/>
        <v>44.636585600000004</v>
      </c>
      <c r="Q23" s="16">
        <f t="shared" si="10"/>
        <v>49.726156500000002</v>
      </c>
      <c r="R23" s="14">
        <f t="shared" si="10"/>
        <v>64.693781599999994</v>
      </c>
      <c r="S23" s="18"/>
      <c r="T23" s="100" t="str">
        <f>'50% Exceedance Baseline'!T23</f>
        <v>Flow target surplus or deficit after input</v>
      </c>
      <c r="U23" s="155"/>
    </row>
    <row r="24" spans="2:21" s="26" customFormat="1" ht="15.75" thickBot="1" x14ac:dyDescent="0.3">
      <c r="B24" s="8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7"/>
      <c r="S24" s="18"/>
      <c r="T24" s="100"/>
      <c r="U24" s="25"/>
    </row>
    <row r="25" spans="2:21" s="4" customFormat="1" ht="15.75" thickBot="1" x14ac:dyDescent="0.3">
      <c r="B25" s="73" t="s">
        <v>60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121">
        <v>0</v>
      </c>
      <c r="R25" s="46">
        <v>0</v>
      </c>
      <c r="S25" s="105"/>
      <c r="T25" s="100" t="str">
        <f>'50% Exceedance Baseline'!T25</f>
        <v>Flow input above Mgt. Pt. 1</v>
      </c>
      <c r="U25" s="155"/>
    </row>
    <row r="26" spans="2:21" s="4" customFormat="1" x14ac:dyDescent="0.25">
      <c r="B26" s="79" t="s">
        <v>7</v>
      </c>
      <c r="C26" s="16">
        <f>IF(C34&gt;C33,((C34-C33)*-1),((C33-C34)))</f>
        <v>315.58645360000003</v>
      </c>
      <c r="D26" s="16">
        <f t="shared" ref="D26:R26" si="11">IF(D34&gt;D33,((D34-D33)*-1),((D33-D34)))</f>
        <v>250.7977975</v>
      </c>
      <c r="E26" s="16">
        <f t="shared" si="11"/>
        <v>234.0911236</v>
      </c>
      <c r="F26" s="16">
        <f t="shared" si="11"/>
        <v>105.40185410000001</v>
      </c>
      <c r="G26" s="16">
        <f t="shared" si="11"/>
        <v>72.051147100000009</v>
      </c>
      <c r="H26" s="16">
        <f t="shared" si="11"/>
        <v>74.015495399999992</v>
      </c>
      <c r="I26" s="16">
        <f t="shared" si="11"/>
        <v>64.093295299999994</v>
      </c>
      <c r="J26" s="16">
        <f t="shared" si="11"/>
        <v>43.301793500000002</v>
      </c>
      <c r="K26" s="16">
        <f t="shared" si="11"/>
        <v>36.390017099999994</v>
      </c>
      <c r="L26" s="16">
        <f t="shared" si="11"/>
        <v>34.097356379999994</v>
      </c>
      <c r="M26" s="16">
        <f t="shared" si="11"/>
        <v>35.555049600000004</v>
      </c>
      <c r="N26" s="16">
        <f t="shared" si="11"/>
        <v>40.275458499999999</v>
      </c>
      <c r="O26" s="16">
        <f t="shared" si="11"/>
        <v>44.218186099999997</v>
      </c>
      <c r="P26" s="16">
        <f t="shared" si="11"/>
        <v>44.636585600000004</v>
      </c>
      <c r="Q26" s="16">
        <f t="shared" si="11"/>
        <v>49.726156500000002</v>
      </c>
      <c r="R26" s="14">
        <f t="shared" si="11"/>
        <v>64.693781599999994</v>
      </c>
      <c r="S26" s="18"/>
      <c r="T26" s="100" t="str">
        <f>'50% Exceedance Baseline'!T26</f>
        <v>Flow target surplus or deficit after input</v>
      </c>
      <c r="U26" s="155"/>
    </row>
    <row r="27" spans="2:21" s="4" customFormat="1" x14ac:dyDescent="0.25">
      <c r="B27" s="81" t="s">
        <v>19</v>
      </c>
      <c r="C27" s="18">
        <f t="shared" ref="C27:F27" si="12">SUM(C19+C22+C25)</f>
        <v>0</v>
      </c>
      <c r="D27" s="18">
        <f t="shared" si="12"/>
        <v>0</v>
      </c>
      <c r="E27" s="18">
        <f t="shared" si="12"/>
        <v>0</v>
      </c>
      <c r="F27" s="18">
        <f t="shared" si="12"/>
        <v>0</v>
      </c>
      <c r="G27" s="18">
        <f>SUM(G19+G22+G25)</f>
        <v>0</v>
      </c>
      <c r="H27" s="18">
        <f t="shared" ref="H27:N27" si="13">SUM(H19+H22+H25)</f>
        <v>0</v>
      </c>
      <c r="I27" s="18">
        <f t="shared" si="13"/>
        <v>0</v>
      </c>
      <c r="J27" s="18">
        <f t="shared" si="13"/>
        <v>0</v>
      </c>
      <c r="K27" s="18">
        <f t="shared" si="13"/>
        <v>0</v>
      </c>
      <c r="L27" s="18">
        <f t="shared" si="13"/>
        <v>0</v>
      </c>
      <c r="M27" s="18">
        <f t="shared" si="13"/>
        <v>0</v>
      </c>
      <c r="N27" s="18">
        <f t="shared" si="13"/>
        <v>0</v>
      </c>
      <c r="O27" s="18">
        <f>SUM(O19+O22+O25)</f>
        <v>0</v>
      </c>
      <c r="P27" s="18">
        <f>SUM(P19+P22+P25)</f>
        <v>0</v>
      </c>
      <c r="Q27" s="18">
        <f>SUM(Q19+Q22+Q25)</f>
        <v>0</v>
      </c>
      <c r="R27" s="17">
        <f>SUM(R19+R22+R25)</f>
        <v>0</v>
      </c>
      <c r="S27" s="18"/>
      <c r="T27" s="100" t="str">
        <f>'50% Exceedance Baseline'!T27</f>
        <v>Subtotal of all inputs in reach above Milton-Freewater</v>
      </c>
      <c r="U27" s="155"/>
    </row>
    <row r="28" spans="2:21" s="4" customFormat="1" ht="15.75" thickBot="1" x14ac:dyDescent="0.3">
      <c r="B28" s="8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7"/>
      <c r="S28" s="18"/>
      <c r="T28" s="100"/>
      <c r="U28" s="155"/>
    </row>
    <row r="29" spans="2:21" s="64" customFormat="1" ht="15.75" thickBot="1" x14ac:dyDescent="0.3">
      <c r="B29" s="70" t="s">
        <v>28</v>
      </c>
      <c r="C29" s="82">
        <f>'50% Exceedance Baseline'!C29</f>
        <v>0.113</v>
      </c>
      <c r="D29" s="82">
        <f>'50% Exceedance Baseline'!D29</f>
        <v>0.113</v>
      </c>
      <c r="E29" s="82">
        <f>'50% Exceedance Baseline'!E29</f>
        <v>0.113</v>
      </c>
      <c r="F29" s="82">
        <f>'50% Exceedance Baseline'!F29</f>
        <v>0.113</v>
      </c>
      <c r="G29" s="82">
        <f>'50% Exceedance Baseline'!G29</f>
        <v>0.113</v>
      </c>
      <c r="H29" s="82">
        <f>'50% Exceedance Baseline'!H29</f>
        <v>0.113</v>
      </c>
      <c r="I29" s="82">
        <f>'50% Exceedance Baseline'!I29</f>
        <v>8.6999999999999994E-2</v>
      </c>
      <c r="J29" s="82">
        <f>'50% Exceedance Baseline'!J29</f>
        <v>8.6999999999999994E-2</v>
      </c>
      <c r="K29" s="82">
        <f>'50% Exceedance Baseline'!K29</f>
        <v>0.20699999999999999</v>
      </c>
      <c r="L29" s="82">
        <f>'50% Exceedance Baseline'!L29</f>
        <v>0.20699999999999999</v>
      </c>
      <c r="M29" s="82">
        <f>'50% Exceedance Baseline'!M29</f>
        <v>0.12</v>
      </c>
      <c r="N29" s="82">
        <f>'50% Exceedance Baseline'!N29</f>
        <v>0.12</v>
      </c>
      <c r="O29" s="82">
        <f>'50% Exceedance Baseline'!O29</f>
        <v>0.26700000000000002</v>
      </c>
      <c r="P29" s="82">
        <f>'50% Exceedance Baseline'!P29</f>
        <v>0.26700000000000002</v>
      </c>
      <c r="Q29" s="69">
        <f>'50% Exceedance Baseline'!Q29</f>
        <v>-0.14099999999999999</v>
      </c>
      <c r="R29" s="69">
        <f>'50% Exceedance Baseline'!R29</f>
        <v>-0.14099999999999999</v>
      </c>
      <c r="S29" s="106"/>
      <c r="T29" s="100" t="str">
        <f>'50% Exceedance Baseline'!T29</f>
        <v>Percentage total inputs lost or gained due to streambed hydrology (2002-2015 WWBWC seepage data)</v>
      </c>
      <c r="U29" s="83"/>
    </row>
    <row r="30" spans="2:21" s="4" customFormat="1" x14ac:dyDescent="0.25">
      <c r="B30" s="84" t="s">
        <v>20</v>
      </c>
      <c r="C30" s="57">
        <f>SUM(C27)*(1+C29)</f>
        <v>0</v>
      </c>
      <c r="D30" s="57">
        <f t="shared" ref="D30:N30" si="14">SUM(D27)*(1+D29)</f>
        <v>0</v>
      </c>
      <c r="E30" s="57">
        <f t="shared" si="14"/>
        <v>0</v>
      </c>
      <c r="F30" s="57">
        <f t="shared" si="14"/>
        <v>0</v>
      </c>
      <c r="G30" s="57">
        <f t="shared" si="14"/>
        <v>0</v>
      </c>
      <c r="H30" s="57">
        <f t="shared" si="14"/>
        <v>0</v>
      </c>
      <c r="I30" s="57">
        <f t="shared" si="14"/>
        <v>0</v>
      </c>
      <c r="J30" s="57">
        <f t="shared" si="14"/>
        <v>0</v>
      </c>
      <c r="K30" s="57">
        <f t="shared" si="14"/>
        <v>0</v>
      </c>
      <c r="L30" s="57">
        <f t="shared" si="14"/>
        <v>0</v>
      </c>
      <c r="M30" s="57">
        <f t="shared" si="14"/>
        <v>0</v>
      </c>
      <c r="N30" s="57">
        <f t="shared" si="14"/>
        <v>0</v>
      </c>
      <c r="O30" s="57">
        <f>SUM(O27)*(1+O29)</f>
        <v>0</v>
      </c>
      <c r="P30" s="57">
        <f>SUM(P27)*(1+P29)</f>
        <v>0</v>
      </c>
      <c r="Q30" s="57">
        <f>SUM(Q27)*(1+Q29)</f>
        <v>0</v>
      </c>
      <c r="R30" s="58">
        <f>SUM(R27)*(1+R29)</f>
        <v>0</v>
      </c>
      <c r="S30" s="110"/>
      <c r="T30" s="100" t="str">
        <f>'50% Exceedance Baseline'!T30</f>
        <v>Total of all upstream input flow adjusted for streambed loss or gain</v>
      </c>
      <c r="U30" s="155"/>
    </row>
    <row r="31" spans="2:21" s="4" customFormat="1" ht="15.75" thickBot="1" x14ac:dyDescent="0.3">
      <c r="B31" s="7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110"/>
      <c r="T31" s="100"/>
      <c r="U31" s="155"/>
    </row>
    <row r="32" spans="2:21" ht="15.75" thickBot="1" x14ac:dyDescent="0.3">
      <c r="B32" s="24" t="s">
        <v>52</v>
      </c>
      <c r="C32" s="123">
        <f>'50% Exceedance Baseline'!C32</f>
        <v>465.58645360000003</v>
      </c>
      <c r="D32" s="123">
        <f>'50% Exceedance Baseline'!D32</f>
        <v>400.7977975</v>
      </c>
      <c r="E32" s="123">
        <f>'50% Exceedance Baseline'!E32</f>
        <v>384.0911236</v>
      </c>
      <c r="F32" s="123">
        <f>'50% Exceedance Baseline'!F32</f>
        <v>255.40185410000001</v>
      </c>
      <c r="G32" s="123">
        <f>'50% Exceedance Baseline'!G32</f>
        <v>222.05114710000001</v>
      </c>
      <c r="H32" s="123">
        <f>'50% Exceedance Baseline'!H32</f>
        <v>174.01549539999999</v>
      </c>
      <c r="I32" s="123">
        <f>'50% Exceedance Baseline'!I32</f>
        <v>129.09329529999999</v>
      </c>
      <c r="J32" s="123">
        <f>'50% Exceedance Baseline'!J32</f>
        <v>108.3017935</v>
      </c>
      <c r="K32" s="123">
        <f>'50% Exceedance Baseline'!K32</f>
        <v>101.39001709999999</v>
      </c>
      <c r="L32" s="123">
        <f>'50% Exceedance Baseline'!L32</f>
        <v>99.097356379999994</v>
      </c>
      <c r="M32" s="123">
        <f>'50% Exceedance Baseline'!M32</f>
        <v>100.5550496</v>
      </c>
      <c r="N32" s="123">
        <f>'50% Exceedance Baseline'!N32</f>
        <v>105.2754585</v>
      </c>
      <c r="O32" s="123">
        <f>'50% Exceedance Baseline'!O32</f>
        <v>109.2181861</v>
      </c>
      <c r="P32" s="123">
        <f>'50% Exceedance Baseline'!P32</f>
        <v>109.6365856</v>
      </c>
      <c r="Q32" s="123">
        <f>'50% Exceedance Baseline'!Q32</f>
        <v>114.7261565</v>
      </c>
      <c r="R32" s="123">
        <f>'50% Exceedance Baseline'!R32</f>
        <v>129.69378159999999</v>
      </c>
      <c r="S32" s="27"/>
      <c r="T32" s="100" t="str">
        <f>'50% Exceedance Baseline'!T32</f>
        <v>Median flow data at S-105 gage (2002-2016)</v>
      </c>
    </row>
    <row r="33" spans="2:26" x14ac:dyDescent="0.25">
      <c r="B33" s="47" t="s">
        <v>36</v>
      </c>
      <c r="C33" s="48">
        <f>C32+C30</f>
        <v>465.58645360000003</v>
      </c>
      <c r="D33" s="48">
        <f t="shared" ref="D33:N33" si="15">D32+D30</f>
        <v>400.7977975</v>
      </c>
      <c r="E33" s="48">
        <f t="shared" si="15"/>
        <v>384.0911236</v>
      </c>
      <c r="F33" s="48">
        <f t="shared" si="15"/>
        <v>255.40185410000001</v>
      </c>
      <c r="G33" s="48">
        <f t="shared" si="15"/>
        <v>222.05114710000001</v>
      </c>
      <c r="H33" s="48">
        <f t="shared" si="15"/>
        <v>174.01549539999999</v>
      </c>
      <c r="I33" s="48">
        <f t="shared" si="15"/>
        <v>129.09329529999999</v>
      </c>
      <c r="J33" s="48">
        <f t="shared" si="15"/>
        <v>108.3017935</v>
      </c>
      <c r="K33" s="48">
        <f t="shared" si="15"/>
        <v>101.39001709999999</v>
      </c>
      <c r="L33" s="48">
        <f t="shared" si="15"/>
        <v>99.097356379999994</v>
      </c>
      <c r="M33" s="48">
        <f t="shared" si="15"/>
        <v>100.5550496</v>
      </c>
      <c r="N33" s="48">
        <f t="shared" si="15"/>
        <v>105.2754585</v>
      </c>
      <c r="O33" s="48">
        <f>O32+O30</f>
        <v>109.2181861</v>
      </c>
      <c r="P33" s="48">
        <f>P32+P30</f>
        <v>109.6365856</v>
      </c>
      <c r="Q33" s="48">
        <f>Q32+Q30</f>
        <v>114.7261565</v>
      </c>
      <c r="R33" s="49">
        <f>R32+R30</f>
        <v>129.69378159999999</v>
      </c>
      <c r="S33" s="111"/>
      <c r="T33" s="100" t="str">
        <f>'50% Exceedance Baseline'!T33</f>
        <v>Flow gage data plus cumulative inputs adjusted for streambed loss or gain</v>
      </c>
    </row>
    <row r="34" spans="2:26" s="4" customFormat="1" x14ac:dyDescent="0.25">
      <c r="B34" s="10" t="s">
        <v>8</v>
      </c>
      <c r="C34" s="8">
        <f>$C$16</f>
        <v>150</v>
      </c>
      <c r="D34" s="8">
        <f>$D$16</f>
        <v>150</v>
      </c>
      <c r="E34" s="8">
        <f>$E$16</f>
        <v>150</v>
      </c>
      <c r="F34" s="8">
        <f>$F$16</f>
        <v>150</v>
      </c>
      <c r="G34" s="8">
        <f>$G$16</f>
        <v>150</v>
      </c>
      <c r="H34" s="8">
        <f>$H$16</f>
        <v>100</v>
      </c>
      <c r="I34" s="8">
        <f>$I$16</f>
        <v>65</v>
      </c>
      <c r="J34" s="8">
        <f>$J$16</f>
        <v>65</v>
      </c>
      <c r="K34" s="8">
        <f>$K$16</f>
        <v>65</v>
      </c>
      <c r="L34" s="8">
        <f>$L$16</f>
        <v>65</v>
      </c>
      <c r="M34" s="8">
        <f>$M$16</f>
        <v>65</v>
      </c>
      <c r="N34" s="8">
        <f>$N$16</f>
        <v>65</v>
      </c>
      <c r="O34" s="8">
        <f>$O$16</f>
        <v>65</v>
      </c>
      <c r="P34" s="8">
        <f>$P$16</f>
        <v>65</v>
      </c>
      <c r="Q34" s="8">
        <f>$Q$16</f>
        <v>65</v>
      </c>
      <c r="R34" s="9">
        <f>$R$16</f>
        <v>65</v>
      </c>
      <c r="S34" s="112"/>
      <c r="T34" s="100" t="str">
        <f>'50% Exceedance Baseline'!T34</f>
        <v>Target flows</v>
      </c>
      <c r="U34" s="155"/>
    </row>
    <row r="35" spans="2:26" s="4" customFormat="1" ht="15.75" thickBot="1" x14ac:dyDescent="0.3">
      <c r="B35" s="37" t="s">
        <v>9</v>
      </c>
      <c r="C35" s="38">
        <f>IF(C33&gt;C34,0,(C34-C33)*-1)</f>
        <v>0</v>
      </c>
      <c r="D35" s="38">
        <f t="shared" ref="D35:N35" si="16">IF(D33&gt;D34,0,(D34-D33)*-1)</f>
        <v>0</v>
      </c>
      <c r="E35" s="38">
        <f t="shared" si="16"/>
        <v>0</v>
      </c>
      <c r="F35" s="38">
        <f t="shared" si="16"/>
        <v>0</v>
      </c>
      <c r="G35" s="38">
        <f t="shared" si="16"/>
        <v>0</v>
      </c>
      <c r="H35" s="38">
        <f t="shared" si="16"/>
        <v>0</v>
      </c>
      <c r="I35" s="38">
        <f t="shared" si="16"/>
        <v>0</v>
      </c>
      <c r="J35" s="38">
        <f t="shared" si="16"/>
        <v>0</v>
      </c>
      <c r="K35" s="38">
        <f t="shared" si="16"/>
        <v>0</v>
      </c>
      <c r="L35" s="38">
        <f t="shared" si="16"/>
        <v>0</v>
      </c>
      <c r="M35" s="38">
        <f t="shared" si="16"/>
        <v>0</v>
      </c>
      <c r="N35" s="38">
        <f t="shared" si="16"/>
        <v>0</v>
      </c>
      <c r="O35" s="38">
        <f>IF(O33&gt;O34,0,(O34-O33)*-1)</f>
        <v>0</v>
      </c>
      <c r="P35" s="38">
        <f>IF(P33&gt;P34,0,(P34-P33)*-1)</f>
        <v>0</v>
      </c>
      <c r="Q35" s="38">
        <f>IF(Q33&gt;Q34,0,(Q34-Q33)*-1)</f>
        <v>0</v>
      </c>
      <c r="R35" s="39">
        <f>IF(R33&gt;R34,0,(R34-R33)*-1)</f>
        <v>0</v>
      </c>
      <c r="S35" s="105"/>
      <c r="T35" s="100" t="str">
        <f>'50% Exceedance Baseline'!T35</f>
        <v>Deficit between target flows and flow gage data plus total adjusted inputs</v>
      </c>
      <c r="U35" s="155"/>
    </row>
    <row r="36" spans="2:26" s="4" customFormat="1" x14ac:dyDescent="0.25">
      <c r="B36" s="3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18"/>
      <c r="T36" s="100"/>
      <c r="U36" s="155"/>
    </row>
    <row r="37" spans="2:26" s="4" customFormat="1" x14ac:dyDescent="0.25">
      <c r="B37" s="85" t="s">
        <v>1</v>
      </c>
      <c r="C37" s="8">
        <f>'50% Exceedance Baseline'!C37</f>
        <v>87</v>
      </c>
      <c r="D37" s="8">
        <f>'50% Exceedance Baseline'!D37</f>
        <v>92</v>
      </c>
      <c r="E37" s="8">
        <f>'50% Exceedance Baseline'!E37</f>
        <v>97</v>
      </c>
      <c r="F37" s="8">
        <f>'50% Exceedance Baseline'!F37</f>
        <v>101</v>
      </c>
      <c r="G37" s="8">
        <f>'50% Exceedance Baseline'!G37</f>
        <v>103</v>
      </c>
      <c r="H37" s="8">
        <f>'50% Exceedance Baseline'!H37</f>
        <v>100</v>
      </c>
      <c r="I37" s="8">
        <f>'50% Exceedance Baseline'!I37</f>
        <v>85</v>
      </c>
      <c r="J37" s="8">
        <f>'50% Exceedance Baseline'!J37</f>
        <v>68</v>
      </c>
      <c r="K37" s="8">
        <f>'50% Exceedance Baseline'!K37</f>
        <v>59</v>
      </c>
      <c r="L37" s="8">
        <f>'50% Exceedance Baseline'!L37</f>
        <v>60</v>
      </c>
      <c r="M37" s="8">
        <f>'50% Exceedance Baseline'!M37</f>
        <v>62</v>
      </c>
      <c r="N37" s="8">
        <f>'50% Exceedance Baseline'!N37</f>
        <v>64</v>
      </c>
      <c r="O37" s="8">
        <f>'50% Exceedance Baseline'!O37</f>
        <v>69</v>
      </c>
      <c r="P37" s="8">
        <f>'50% Exceedance Baseline'!P37</f>
        <v>70</v>
      </c>
      <c r="Q37" s="8">
        <f>'50% Exceedance Baseline'!Q37</f>
        <v>60</v>
      </c>
      <c r="R37" s="8">
        <f>'50% Exceedance Baseline'!R37</f>
        <v>60</v>
      </c>
      <c r="S37" s="112"/>
      <c r="T37" s="100"/>
      <c r="U37" s="155"/>
    </row>
    <row r="38" spans="2:26" s="4" customFormat="1" x14ac:dyDescent="0.25">
      <c r="B38" s="85" t="s">
        <v>0</v>
      </c>
      <c r="C38" s="8">
        <f>'50% Exceedance Baseline'!C38</f>
        <v>5</v>
      </c>
      <c r="D38" s="8">
        <f>'50% Exceedance Baseline'!D38</f>
        <v>5</v>
      </c>
      <c r="E38" s="8">
        <f>'50% Exceedance Baseline'!E38</f>
        <v>5</v>
      </c>
      <c r="F38" s="8">
        <f>'50% Exceedance Baseline'!F38</f>
        <v>5</v>
      </c>
      <c r="G38" s="8">
        <f>'50% Exceedance Baseline'!G38</f>
        <v>5</v>
      </c>
      <c r="H38" s="8">
        <f>'50% Exceedance Baseline'!H38</f>
        <v>5</v>
      </c>
      <c r="I38" s="8">
        <f>'50% Exceedance Baseline'!I38</f>
        <v>5</v>
      </c>
      <c r="J38" s="8">
        <f>'50% Exceedance Baseline'!J38</f>
        <v>5</v>
      </c>
      <c r="K38" s="8">
        <f>'50% Exceedance Baseline'!K38</f>
        <v>5</v>
      </c>
      <c r="L38" s="8">
        <f>'50% Exceedance Baseline'!L38</f>
        <v>5</v>
      </c>
      <c r="M38" s="8">
        <f>'50% Exceedance Baseline'!M38</f>
        <v>5</v>
      </c>
      <c r="N38" s="8">
        <f>'50% Exceedance Baseline'!N38</f>
        <v>5</v>
      </c>
      <c r="O38" s="8">
        <f>'50% Exceedance Baseline'!O38</f>
        <v>5</v>
      </c>
      <c r="P38" s="8">
        <f>'50% Exceedance Baseline'!P38</f>
        <v>5</v>
      </c>
      <c r="Q38" s="8">
        <f>'50% Exceedance Baseline'!Q38</f>
        <v>0</v>
      </c>
      <c r="R38" s="8">
        <f>'50% Exceedance Baseline'!R38</f>
        <v>0</v>
      </c>
      <c r="S38" s="112"/>
      <c r="T38" s="100"/>
      <c r="U38" s="155"/>
    </row>
    <row r="39" spans="2:26" s="4" customFormat="1" x14ac:dyDescent="0.25">
      <c r="B39" s="86" t="s">
        <v>4</v>
      </c>
      <c r="C39" s="8">
        <f t="shared" ref="C39:R39" si="17">C37+C38</f>
        <v>92</v>
      </c>
      <c r="D39" s="8">
        <f t="shared" si="17"/>
        <v>97</v>
      </c>
      <c r="E39" s="8">
        <f t="shared" si="17"/>
        <v>102</v>
      </c>
      <c r="F39" s="8">
        <f t="shared" si="17"/>
        <v>106</v>
      </c>
      <c r="G39" s="8">
        <f t="shared" si="17"/>
        <v>108</v>
      </c>
      <c r="H39" s="8">
        <f t="shared" si="17"/>
        <v>105</v>
      </c>
      <c r="I39" s="8">
        <f t="shared" si="17"/>
        <v>90</v>
      </c>
      <c r="J39" s="8">
        <f t="shared" si="17"/>
        <v>73</v>
      </c>
      <c r="K39" s="8">
        <f t="shared" si="17"/>
        <v>64</v>
      </c>
      <c r="L39" s="8">
        <f t="shared" si="17"/>
        <v>65</v>
      </c>
      <c r="M39" s="8">
        <f t="shared" si="17"/>
        <v>67</v>
      </c>
      <c r="N39" s="8">
        <f t="shared" si="17"/>
        <v>69</v>
      </c>
      <c r="O39" s="8">
        <f t="shared" si="17"/>
        <v>74</v>
      </c>
      <c r="P39" s="8">
        <f t="shared" si="17"/>
        <v>75</v>
      </c>
      <c r="Q39" s="8">
        <f t="shared" si="17"/>
        <v>60</v>
      </c>
      <c r="R39" s="8">
        <f t="shared" si="17"/>
        <v>60</v>
      </c>
      <c r="S39" s="112"/>
      <c r="T39" s="100"/>
      <c r="U39" s="155"/>
    </row>
    <row r="40" spans="2:26" s="4" customFormat="1" x14ac:dyDescent="0.25">
      <c r="B40" s="86" t="s">
        <v>133</v>
      </c>
      <c r="C40" s="152">
        <f>C32-C34</f>
        <v>315.58645360000003</v>
      </c>
      <c r="D40" s="152">
        <f t="shared" ref="D40:R40" si="18">D32-D34</f>
        <v>250.7977975</v>
      </c>
      <c r="E40" s="152">
        <f t="shared" si="18"/>
        <v>234.0911236</v>
      </c>
      <c r="F40" s="152">
        <f t="shared" si="18"/>
        <v>105.40185410000001</v>
      </c>
      <c r="G40" s="152">
        <f>G32-G34</f>
        <v>72.051147100000009</v>
      </c>
      <c r="H40" s="152">
        <f t="shared" si="18"/>
        <v>74.015495399999992</v>
      </c>
      <c r="I40" s="152">
        <f t="shared" si="18"/>
        <v>64.093295299999994</v>
      </c>
      <c r="J40" s="152">
        <f t="shared" si="18"/>
        <v>43.301793500000002</v>
      </c>
      <c r="K40" s="152">
        <f t="shared" si="18"/>
        <v>36.390017099999994</v>
      </c>
      <c r="L40" s="152">
        <f t="shared" si="18"/>
        <v>34.097356379999994</v>
      </c>
      <c r="M40" s="152">
        <f t="shared" si="18"/>
        <v>35.555049600000004</v>
      </c>
      <c r="N40" s="152">
        <f t="shared" si="18"/>
        <v>40.275458499999999</v>
      </c>
      <c r="O40" s="152">
        <f t="shared" si="18"/>
        <v>44.218186099999997</v>
      </c>
      <c r="P40" s="152">
        <f t="shared" si="18"/>
        <v>44.636585600000004</v>
      </c>
      <c r="Q40" s="152">
        <f t="shared" si="18"/>
        <v>49.726156500000002</v>
      </c>
      <c r="R40" s="152">
        <f t="shared" si="18"/>
        <v>64.693781599999994</v>
      </c>
      <c r="S40" s="112"/>
      <c r="T40" s="100"/>
      <c r="U40" s="155"/>
    </row>
    <row r="41" spans="2:26" ht="15.75" thickBot="1" x14ac:dyDescent="0.3">
      <c r="B41" s="59" t="s">
        <v>64</v>
      </c>
      <c r="C41" s="3">
        <f>IF(C42&gt;0,10,0)</f>
        <v>0</v>
      </c>
      <c r="D41" s="3">
        <f t="shared" ref="D41:J41" si="19">IF(D42&gt;0,10,0)</f>
        <v>0</v>
      </c>
      <c r="E41" s="3">
        <f t="shared" si="19"/>
        <v>0</v>
      </c>
      <c r="F41" s="3">
        <f t="shared" si="19"/>
        <v>10</v>
      </c>
      <c r="G41" s="3">
        <f t="shared" si="19"/>
        <v>10</v>
      </c>
      <c r="H41" s="3">
        <f t="shared" si="19"/>
        <v>10</v>
      </c>
      <c r="I41" s="3">
        <f t="shared" si="19"/>
        <v>10</v>
      </c>
      <c r="J41" s="3">
        <f t="shared" si="19"/>
        <v>10</v>
      </c>
      <c r="K41" s="3">
        <f>IF(K42&gt;0,7,0)</f>
        <v>7</v>
      </c>
      <c r="L41" s="3">
        <f t="shared" ref="L41:R41" si="20">IF(L42&gt;0,7,0)</f>
        <v>7</v>
      </c>
      <c r="M41" s="3">
        <f t="shared" si="20"/>
        <v>7</v>
      </c>
      <c r="N41" s="3">
        <f t="shared" si="20"/>
        <v>7</v>
      </c>
      <c r="O41" s="3">
        <f t="shared" si="20"/>
        <v>7</v>
      </c>
      <c r="P41" s="3">
        <f t="shared" si="20"/>
        <v>7</v>
      </c>
      <c r="Q41" s="3">
        <f t="shared" si="20"/>
        <v>7</v>
      </c>
      <c r="R41" s="3">
        <f t="shared" si="20"/>
        <v>7</v>
      </c>
      <c r="T41" s="101" t="s">
        <v>118</v>
      </c>
      <c r="U41" s="139">
        <f>SUM(C41:R41)*15*1.9835</f>
        <v>3153.7649999999999</v>
      </c>
      <c r="V41" s="11" t="s">
        <v>123</v>
      </c>
      <c r="W41" s="11"/>
      <c r="X41" s="11"/>
      <c r="Y41" s="11"/>
    </row>
    <row r="42" spans="2:26" s="30" customFormat="1" ht="15.75" thickBot="1" x14ac:dyDescent="0.3">
      <c r="B42" s="72" t="s">
        <v>112</v>
      </c>
      <c r="C42" s="46">
        <v>0</v>
      </c>
      <c r="D42" s="46">
        <v>0</v>
      </c>
      <c r="E42" s="46">
        <v>0</v>
      </c>
      <c r="F42" s="46">
        <v>41</v>
      </c>
      <c r="G42" s="46">
        <v>108</v>
      </c>
      <c r="H42" s="46">
        <v>85</v>
      </c>
      <c r="I42" s="46">
        <v>71</v>
      </c>
      <c r="J42" s="46">
        <v>70</v>
      </c>
      <c r="K42" s="46">
        <v>64</v>
      </c>
      <c r="L42" s="46">
        <v>65</v>
      </c>
      <c r="M42" s="46">
        <v>67</v>
      </c>
      <c r="N42" s="46">
        <v>68</v>
      </c>
      <c r="O42" s="46">
        <v>50</v>
      </c>
      <c r="P42" s="46">
        <v>52</v>
      </c>
      <c r="Q42" s="46">
        <v>38</v>
      </c>
      <c r="R42" s="46">
        <v>27</v>
      </c>
      <c r="S42" s="105"/>
      <c r="T42" s="100" t="str">
        <f>'50% Exceedance Baseline'!T42</f>
        <v>Flow input between Mgt. Pt. 1 and Mgt. Pt. 2</v>
      </c>
      <c r="U42" s="29"/>
    </row>
    <row r="43" spans="2:26" s="128" customFormat="1" x14ac:dyDescent="0.25">
      <c r="B43" s="79" t="s">
        <v>7</v>
      </c>
      <c r="C43" s="16">
        <f>IF(C57&gt;C56,((C57-C56)*-1),((C56-C57)))</f>
        <v>129.75</v>
      </c>
      <c r="D43" s="16">
        <f t="shared" ref="D43:E43" si="21">IF(D57&gt;D56,((D57-D56)*-1),((D56-D57)))</f>
        <v>77.25</v>
      </c>
      <c r="E43" s="16">
        <f t="shared" si="21"/>
        <v>61.5</v>
      </c>
      <c r="F43" s="16">
        <f>IF(F57&gt;F56,((F57-F56)*-1),((F56-F57)))</f>
        <v>0.28999999999999204</v>
      </c>
      <c r="G43" s="16">
        <f>IF(G57&gt;G56,((G57-G56)*-1),((G56-G57)))</f>
        <v>0.87342547000000081</v>
      </c>
      <c r="H43" s="16">
        <f t="shared" ref="H43:R43" si="22">IF(H57&gt;H56,((H57-H56)*-1),((H56-H57)))</f>
        <v>16.414954629999983</v>
      </c>
      <c r="I43" s="16">
        <f t="shared" si="22"/>
        <v>27.687835520000007</v>
      </c>
      <c r="J43" s="16">
        <f t="shared" si="22"/>
        <v>27.062286459999996</v>
      </c>
      <c r="K43" s="16">
        <f t="shared" si="22"/>
        <v>31.221497110000001</v>
      </c>
      <c r="L43" s="16">
        <f t="shared" si="22"/>
        <v>32.611113110000005</v>
      </c>
      <c r="M43" s="16">
        <f t="shared" si="22"/>
        <v>25.962395839999999</v>
      </c>
      <c r="N43" s="16">
        <f t="shared" si="22"/>
        <v>24.584833339999989</v>
      </c>
      <c r="O43" s="16">
        <f t="shared" si="22"/>
        <v>18.97338542</v>
      </c>
      <c r="P43" s="16">
        <f t="shared" si="22"/>
        <v>25.380871490000004</v>
      </c>
      <c r="Q43" s="16">
        <f t="shared" si="22"/>
        <v>20.230371560000009</v>
      </c>
      <c r="R43" s="14">
        <f t="shared" si="22"/>
        <v>27.957124999999991</v>
      </c>
      <c r="S43" s="18"/>
      <c r="T43" s="100" t="str">
        <f>'50% Exceedance Baseline'!T43</f>
        <v>Flow target surplus or deficit after input</v>
      </c>
      <c r="U43" s="127"/>
      <c r="Z43" s="129"/>
    </row>
    <row r="44" spans="2:26" s="5" customFormat="1" ht="15.75" thickBot="1" x14ac:dyDescent="0.3">
      <c r="B44" s="135" t="s">
        <v>115</v>
      </c>
      <c r="C44" s="136">
        <f t="shared" ref="C44:R44" si="23">C42*15*1.9835</f>
        <v>0</v>
      </c>
      <c r="D44" s="136">
        <f t="shared" si="23"/>
        <v>0</v>
      </c>
      <c r="E44" s="136">
        <f t="shared" si="23"/>
        <v>0</v>
      </c>
      <c r="F44" s="136">
        <f>F42*15*1.9835</f>
        <v>1219.8525</v>
      </c>
      <c r="G44" s="136">
        <f>G42*15*1.9835</f>
        <v>3213.27</v>
      </c>
      <c r="H44" s="136">
        <f t="shared" si="23"/>
        <v>2528.9625000000001</v>
      </c>
      <c r="I44" s="136">
        <f t="shared" si="23"/>
        <v>2112.4275000000002</v>
      </c>
      <c r="J44" s="136">
        <f t="shared" si="23"/>
        <v>2082.6750000000002</v>
      </c>
      <c r="K44" s="136">
        <f t="shared" si="23"/>
        <v>1904.16</v>
      </c>
      <c r="L44" s="136">
        <f t="shared" si="23"/>
        <v>1933.9125000000001</v>
      </c>
      <c r="M44" s="136">
        <f t="shared" si="23"/>
        <v>1993.4175</v>
      </c>
      <c r="N44" s="136">
        <f t="shared" si="23"/>
        <v>2023.17</v>
      </c>
      <c r="O44" s="136">
        <f t="shared" si="23"/>
        <v>1487.625</v>
      </c>
      <c r="P44" s="136">
        <f t="shared" si="23"/>
        <v>1547.13</v>
      </c>
      <c r="Q44" s="136">
        <f t="shared" si="23"/>
        <v>1130.595</v>
      </c>
      <c r="R44" s="137">
        <f t="shared" si="23"/>
        <v>803.3175</v>
      </c>
      <c r="S44" s="18"/>
      <c r="T44" s="101" t="s">
        <v>118</v>
      </c>
      <c r="U44" s="139">
        <f>SUM(C44:R44)</f>
        <v>23980.515000000007</v>
      </c>
    </row>
    <row r="45" spans="2:26" ht="15.75" thickBot="1" x14ac:dyDescent="0.3">
      <c r="B45" s="73" t="s">
        <v>126</v>
      </c>
      <c r="C45" s="46">
        <v>0</v>
      </c>
      <c r="D45" s="46">
        <v>0</v>
      </c>
      <c r="E45" s="46">
        <v>0</v>
      </c>
      <c r="F45" s="46">
        <v>0</v>
      </c>
      <c r="G45" s="46">
        <v>14</v>
      </c>
      <c r="H45" s="46">
        <v>0</v>
      </c>
      <c r="I45" s="46">
        <v>0</v>
      </c>
      <c r="J45" s="46">
        <v>0</v>
      </c>
      <c r="K45" s="46">
        <v>7</v>
      </c>
      <c r="L45" s="46">
        <v>9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105"/>
      <c r="T45" s="100" t="str">
        <f>'50% Exceedance Baseline'!T45</f>
        <v>Flow input between Mgt. Pt. 1 and Mgt. Pt. 2</v>
      </c>
    </row>
    <row r="46" spans="2:26" s="12" customFormat="1" x14ac:dyDescent="0.25">
      <c r="B46" s="79" t="s">
        <v>7</v>
      </c>
      <c r="C46" s="16">
        <f>IF(C57&gt;C56,((C57-C56)*-1),((C56-C57)))</f>
        <v>129.75</v>
      </c>
      <c r="D46" s="16">
        <f t="shared" ref="D46:R46" si="24">IF(D57&gt;D56,((D57-D56)*-1),((D56-D57)))</f>
        <v>77.25</v>
      </c>
      <c r="E46" s="16">
        <f t="shared" si="24"/>
        <v>61.5</v>
      </c>
      <c r="F46" s="16">
        <f t="shared" si="24"/>
        <v>0.28999999999999204</v>
      </c>
      <c r="G46" s="16">
        <f t="shared" si="24"/>
        <v>0.87342547000000081</v>
      </c>
      <c r="H46" s="16">
        <f t="shared" si="24"/>
        <v>16.414954629999983</v>
      </c>
      <c r="I46" s="16">
        <f t="shared" si="24"/>
        <v>27.687835520000007</v>
      </c>
      <c r="J46" s="16">
        <f t="shared" si="24"/>
        <v>27.062286459999996</v>
      </c>
      <c r="K46" s="16">
        <f t="shared" si="24"/>
        <v>31.221497110000001</v>
      </c>
      <c r="L46" s="16">
        <f t="shared" si="24"/>
        <v>32.611113110000005</v>
      </c>
      <c r="M46" s="16">
        <f t="shared" si="24"/>
        <v>25.962395839999999</v>
      </c>
      <c r="N46" s="16">
        <f t="shared" si="24"/>
        <v>24.584833339999989</v>
      </c>
      <c r="O46" s="16">
        <f t="shared" si="24"/>
        <v>18.97338542</v>
      </c>
      <c r="P46" s="16">
        <f t="shared" si="24"/>
        <v>25.380871490000004</v>
      </c>
      <c r="Q46" s="16">
        <f t="shared" si="24"/>
        <v>20.230371560000009</v>
      </c>
      <c r="R46" s="14">
        <f t="shared" si="24"/>
        <v>27.957124999999991</v>
      </c>
      <c r="S46" s="18"/>
      <c r="T46" s="100" t="str">
        <f>'50% Exceedance Baseline'!T46</f>
        <v>Flow target surplus or deficit after input</v>
      </c>
      <c r="U46" s="13"/>
    </row>
    <row r="47" spans="2:26" s="138" customFormat="1" ht="15.75" thickBot="1" x14ac:dyDescent="0.3">
      <c r="B47" s="135" t="s">
        <v>115</v>
      </c>
      <c r="C47" s="136">
        <f t="shared" ref="C47:R47" si="25">C45*15*1.9835</f>
        <v>0</v>
      </c>
      <c r="D47" s="136">
        <f t="shared" si="25"/>
        <v>0</v>
      </c>
      <c r="E47" s="136">
        <f t="shared" si="25"/>
        <v>0</v>
      </c>
      <c r="F47" s="136">
        <f t="shared" si="25"/>
        <v>0</v>
      </c>
      <c r="G47" s="136">
        <f>G45*15*1.9835</f>
        <v>416.53500000000003</v>
      </c>
      <c r="H47" s="136">
        <f t="shared" si="25"/>
        <v>0</v>
      </c>
      <c r="I47" s="136">
        <f t="shared" si="25"/>
        <v>0</v>
      </c>
      <c r="J47" s="136">
        <f t="shared" si="25"/>
        <v>0</v>
      </c>
      <c r="K47" s="136">
        <f t="shared" si="25"/>
        <v>208.26750000000001</v>
      </c>
      <c r="L47" s="136">
        <f t="shared" si="25"/>
        <v>267.77249999999998</v>
      </c>
      <c r="M47" s="136">
        <f t="shared" si="25"/>
        <v>0</v>
      </c>
      <c r="N47" s="136">
        <f t="shared" si="25"/>
        <v>0</v>
      </c>
      <c r="O47" s="136">
        <f t="shared" si="25"/>
        <v>0</v>
      </c>
      <c r="P47" s="136">
        <f t="shared" si="25"/>
        <v>0</v>
      </c>
      <c r="Q47" s="136">
        <f t="shared" si="25"/>
        <v>0</v>
      </c>
      <c r="R47" s="137">
        <f t="shared" si="25"/>
        <v>0</v>
      </c>
      <c r="S47" s="136"/>
      <c r="T47" s="101" t="s">
        <v>118</v>
      </c>
      <c r="U47" s="139">
        <f>SUM(C47:R47)</f>
        <v>892.57500000000005</v>
      </c>
    </row>
    <row r="48" spans="2:26" ht="15.75" thickBot="1" x14ac:dyDescent="0.3">
      <c r="B48" s="73" t="s">
        <v>60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121">
        <v>0</v>
      </c>
      <c r="R48" s="46">
        <v>0</v>
      </c>
      <c r="S48" s="105"/>
      <c r="T48" s="100" t="str">
        <f>'50% Exceedance Baseline'!T48</f>
        <v>Flow input between Mgt. Pt. 1 and Mgt. Pt. 2</v>
      </c>
    </row>
    <row r="49" spans="2:21" x14ac:dyDescent="0.25">
      <c r="B49" s="79" t="s">
        <v>7</v>
      </c>
      <c r="C49" s="16">
        <f>IF(C57&gt;C56,((C57-C56)*-1),((C56-C57)))</f>
        <v>129.75</v>
      </c>
      <c r="D49" s="16">
        <f t="shared" ref="D49:R49" si="26">IF(D57&gt;D56,((D57-D56)*-1),((D56-D57)))</f>
        <v>77.25</v>
      </c>
      <c r="E49" s="16">
        <f t="shared" si="26"/>
        <v>61.5</v>
      </c>
      <c r="F49" s="16">
        <f t="shared" si="26"/>
        <v>0.28999999999999204</v>
      </c>
      <c r="G49" s="16">
        <f t="shared" si="26"/>
        <v>0.87342547000000081</v>
      </c>
      <c r="H49" s="16">
        <f t="shared" si="26"/>
        <v>16.414954629999983</v>
      </c>
      <c r="I49" s="16">
        <f t="shared" si="26"/>
        <v>27.687835520000007</v>
      </c>
      <c r="J49" s="16">
        <f t="shared" si="26"/>
        <v>27.062286459999996</v>
      </c>
      <c r="K49" s="16">
        <f t="shared" si="26"/>
        <v>31.221497110000001</v>
      </c>
      <c r="L49" s="16">
        <f t="shared" si="26"/>
        <v>32.611113110000005</v>
      </c>
      <c r="M49" s="16">
        <f t="shared" si="26"/>
        <v>25.962395839999999</v>
      </c>
      <c r="N49" s="16">
        <f t="shared" si="26"/>
        <v>24.584833339999989</v>
      </c>
      <c r="O49" s="16">
        <f t="shared" si="26"/>
        <v>18.97338542</v>
      </c>
      <c r="P49" s="16">
        <f t="shared" si="26"/>
        <v>25.380871490000004</v>
      </c>
      <c r="Q49" s="16">
        <f t="shared" si="26"/>
        <v>20.230371560000009</v>
      </c>
      <c r="R49" s="14">
        <f t="shared" si="26"/>
        <v>27.957124999999991</v>
      </c>
      <c r="S49" s="18"/>
      <c r="T49" s="100" t="str">
        <f>'50% Exceedance Baseline'!T49</f>
        <v>Flow target surplus or deficit after input</v>
      </c>
    </row>
    <row r="50" spans="2:21" x14ac:dyDescent="0.25">
      <c r="B50" s="81" t="s">
        <v>21</v>
      </c>
      <c r="C50" s="18">
        <f t="shared" ref="C50:N50" si="27">SUM(C42+C45+C48)</f>
        <v>0</v>
      </c>
      <c r="D50" s="18">
        <f t="shared" si="27"/>
        <v>0</v>
      </c>
      <c r="E50" s="18">
        <f t="shared" si="27"/>
        <v>0</v>
      </c>
      <c r="F50" s="18">
        <f t="shared" si="27"/>
        <v>41</v>
      </c>
      <c r="G50" s="18">
        <f>SUM(G42+G45+G48)</f>
        <v>122</v>
      </c>
      <c r="H50" s="18">
        <f t="shared" si="27"/>
        <v>85</v>
      </c>
      <c r="I50" s="18">
        <f t="shared" si="27"/>
        <v>71</v>
      </c>
      <c r="J50" s="18">
        <f t="shared" si="27"/>
        <v>70</v>
      </c>
      <c r="K50" s="18">
        <f t="shared" si="27"/>
        <v>71</v>
      </c>
      <c r="L50" s="18">
        <f t="shared" si="27"/>
        <v>74</v>
      </c>
      <c r="M50" s="18">
        <f t="shared" si="27"/>
        <v>67</v>
      </c>
      <c r="N50" s="18">
        <f t="shared" si="27"/>
        <v>68</v>
      </c>
      <c r="O50" s="18">
        <f>SUM(O42+O45+O48)</f>
        <v>50</v>
      </c>
      <c r="P50" s="18">
        <f>SUM(P42+P45+P48)</f>
        <v>52</v>
      </c>
      <c r="Q50" s="18">
        <f>SUM(Q42+Q45+Q48)</f>
        <v>38</v>
      </c>
      <c r="R50" s="17">
        <f>SUM(R42+R45+R48)</f>
        <v>27</v>
      </c>
      <c r="S50" s="18"/>
      <c r="T50" s="100" t="str">
        <f>'50% Exceedance Baseline'!T50</f>
        <v>Subtotal of all inputs in Milton-Freewater to Nursery Bridge reach</v>
      </c>
    </row>
    <row r="51" spans="2:21" ht="15.75" thickBot="1" x14ac:dyDescent="0.3">
      <c r="B51" s="80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7"/>
      <c r="S51" s="18"/>
    </row>
    <row r="52" spans="2:21" s="64" customFormat="1" ht="15.75" thickBot="1" x14ac:dyDescent="0.3">
      <c r="B52" s="70" t="s">
        <v>69</v>
      </c>
      <c r="C52" s="69">
        <f>'50% Exceedance Baseline'!C52</f>
        <v>-0.06</v>
      </c>
      <c r="D52" s="69">
        <f>'50% Exceedance Baseline'!D52</f>
        <v>-0.06</v>
      </c>
      <c r="E52" s="69">
        <f>'50% Exceedance Baseline'!E52</f>
        <v>-0.06</v>
      </c>
      <c r="F52" s="69">
        <f>'50% Exceedance Baseline'!F52</f>
        <v>-0.06</v>
      </c>
      <c r="G52" s="69">
        <f>'50% Exceedance Baseline'!G52</f>
        <v>-0.06</v>
      </c>
      <c r="H52" s="69">
        <f>'50% Exceedance Baseline'!H52</f>
        <v>-0.06</v>
      </c>
      <c r="I52" s="69">
        <f>'50% Exceedance Baseline'!I52</f>
        <v>-9.9000000000000005E-2</v>
      </c>
      <c r="J52" s="69">
        <f>'50% Exceedance Baseline'!J52</f>
        <v>-9.9000000000000005E-2</v>
      </c>
      <c r="K52" s="69">
        <f>'50% Exceedance Baseline'!K52</f>
        <v>-0.09</v>
      </c>
      <c r="L52" s="69">
        <f>'50% Exceedance Baseline'!L52</f>
        <v>-0.09</v>
      </c>
      <c r="M52" s="69">
        <f>'50% Exceedance Baseline'!M52</f>
        <v>-0.13700000000000001</v>
      </c>
      <c r="N52" s="69">
        <f>'50% Exceedance Baseline'!N52</f>
        <v>-0.13700000000000001</v>
      </c>
      <c r="O52" s="82">
        <f>'50% Exceedance Baseline'!O52</f>
        <v>6.0000000000000001E-3</v>
      </c>
      <c r="P52" s="82">
        <f>'50% Exceedance Baseline'!P52</f>
        <v>6.0000000000000001E-3</v>
      </c>
      <c r="Q52" s="69">
        <f>'50% Exceedance Baseline'!Q52</f>
        <v>-5.8999999999999997E-2</v>
      </c>
      <c r="R52" s="69">
        <f>'50% Exceedance Baseline'!R52</f>
        <v>-5.8999999999999997E-2</v>
      </c>
      <c r="S52" s="107"/>
      <c r="T52" s="100" t="str">
        <f>'50% Exceedance Baseline'!T52</f>
        <v>Percentage total inputs lost or gained due to streambed hydrology (2002-2015 WWBWC seepage data)</v>
      </c>
      <c r="U52" s="83"/>
    </row>
    <row r="53" spans="2:21" x14ac:dyDescent="0.25">
      <c r="B53" s="84" t="s">
        <v>20</v>
      </c>
      <c r="C53" s="57">
        <f t="shared" ref="C53:R53" si="28">SUM(C50+C30)*(1+C52)</f>
        <v>0</v>
      </c>
      <c r="D53" s="57">
        <f t="shared" si="28"/>
        <v>0</v>
      </c>
      <c r="E53" s="57">
        <f t="shared" si="28"/>
        <v>0</v>
      </c>
      <c r="F53" s="57">
        <f t="shared" si="28"/>
        <v>38.54</v>
      </c>
      <c r="G53" s="57">
        <f t="shared" si="28"/>
        <v>114.67999999999999</v>
      </c>
      <c r="H53" s="57">
        <f t="shared" si="28"/>
        <v>79.899999999999991</v>
      </c>
      <c r="I53" s="57">
        <f t="shared" si="28"/>
        <v>63.971000000000004</v>
      </c>
      <c r="J53" s="57">
        <f t="shared" si="28"/>
        <v>63.07</v>
      </c>
      <c r="K53" s="57">
        <f t="shared" si="28"/>
        <v>64.61</v>
      </c>
      <c r="L53" s="57">
        <f t="shared" si="28"/>
        <v>67.34</v>
      </c>
      <c r="M53" s="57">
        <f t="shared" si="28"/>
        <v>57.820999999999998</v>
      </c>
      <c r="N53" s="57">
        <f t="shared" si="28"/>
        <v>58.683999999999997</v>
      </c>
      <c r="O53" s="57">
        <f t="shared" si="28"/>
        <v>50.3</v>
      </c>
      <c r="P53" s="57">
        <f t="shared" si="28"/>
        <v>52.311999999999998</v>
      </c>
      <c r="Q53" s="57">
        <f t="shared" si="28"/>
        <v>35.758000000000003</v>
      </c>
      <c r="R53" s="58">
        <f t="shared" si="28"/>
        <v>25.407</v>
      </c>
      <c r="S53" s="110"/>
      <c r="T53" s="100" t="str">
        <f>'50% Exceedance Baseline'!T53</f>
        <v>Total of all upstream input flow adjusted for streambed loss or gain</v>
      </c>
    </row>
    <row r="54" spans="2:21" ht="15.75" thickBot="1" x14ac:dyDescent="0.3">
      <c r="B54" s="7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3"/>
      <c r="S54" s="110"/>
    </row>
    <row r="55" spans="2:21" ht="15.75" thickBot="1" x14ac:dyDescent="0.3">
      <c r="B55" s="24" t="s">
        <v>53</v>
      </c>
      <c r="C55" s="50">
        <f>'50% Exceedance Baseline'!C55</f>
        <v>279.75</v>
      </c>
      <c r="D55" s="50">
        <f>'50% Exceedance Baseline'!D55</f>
        <v>227.25</v>
      </c>
      <c r="E55" s="50">
        <f>'50% Exceedance Baseline'!E55</f>
        <v>211.5</v>
      </c>
      <c r="F55" s="50">
        <f>'50% Exceedance Baseline'!F55</f>
        <v>111.75</v>
      </c>
      <c r="G55" s="132">
        <f>'50% Exceedance Baseline'!G55</f>
        <v>36.193425470000001</v>
      </c>
      <c r="H55" s="132">
        <f>'50% Exceedance Baseline'!H55</f>
        <v>36.514954629999998</v>
      </c>
      <c r="I55" s="132">
        <f>'50% Exceedance Baseline'!I55</f>
        <v>28.71683552</v>
      </c>
      <c r="J55" s="132">
        <f>'50% Exceedance Baseline'!J55</f>
        <v>28.992286459999999</v>
      </c>
      <c r="K55" s="132">
        <f>'50% Exceedance Baseline'!K55</f>
        <v>31.611497109999998</v>
      </c>
      <c r="L55" s="132">
        <f>'50% Exceedance Baseline'!L55</f>
        <v>30.271113110000002</v>
      </c>
      <c r="M55" s="132">
        <f>'50% Exceedance Baseline'!M55</f>
        <v>33.141395840000001</v>
      </c>
      <c r="N55" s="132">
        <f>'50% Exceedance Baseline'!N55</f>
        <v>30.900833339999998</v>
      </c>
      <c r="O55" s="132">
        <f>'50% Exceedance Baseline'!O55</f>
        <v>33.673385420000002</v>
      </c>
      <c r="P55" s="132">
        <f>'50% Exceedance Baseline'!P55</f>
        <v>38.068871489999999</v>
      </c>
      <c r="Q55" s="132">
        <f>'50% Exceedance Baseline'!Q55</f>
        <v>49.472371559999999</v>
      </c>
      <c r="R55" s="132">
        <f>'50% Exceedance Baseline'!R55</f>
        <v>67.550124999999994</v>
      </c>
      <c r="S55" s="19"/>
      <c r="T55" s="100" t="str">
        <f>'50% Exceedance Baseline'!T55</f>
        <v>Median flow data at S-106 gage (2002-2016; April - May estimated)</v>
      </c>
    </row>
    <row r="56" spans="2:21" x14ac:dyDescent="0.25">
      <c r="B56" s="47" t="s">
        <v>37</v>
      </c>
      <c r="C56" s="48">
        <f>C55+C53</f>
        <v>279.75</v>
      </c>
      <c r="D56" s="48">
        <f t="shared" ref="D56:E56" si="29">D55+D53</f>
        <v>227.25</v>
      </c>
      <c r="E56" s="48">
        <f t="shared" si="29"/>
        <v>211.5</v>
      </c>
      <c r="F56" s="48">
        <f>F55+F53</f>
        <v>150.29</v>
      </c>
      <c r="G56" s="48">
        <f>G55+G53</f>
        <v>150.87342547</v>
      </c>
      <c r="H56" s="48">
        <f t="shared" ref="H56" si="30">H55+H53</f>
        <v>116.41495462999998</v>
      </c>
      <c r="I56" s="48">
        <f>I55+I53</f>
        <v>92.687835520000007</v>
      </c>
      <c r="J56" s="48">
        <f t="shared" ref="J56:N56" si="31">J55+J53</f>
        <v>92.062286459999996</v>
      </c>
      <c r="K56" s="48">
        <f t="shared" si="31"/>
        <v>96.221497110000001</v>
      </c>
      <c r="L56" s="48">
        <f t="shared" si="31"/>
        <v>97.611113110000005</v>
      </c>
      <c r="M56" s="48">
        <f t="shared" si="31"/>
        <v>90.962395839999999</v>
      </c>
      <c r="N56" s="48">
        <f t="shared" si="31"/>
        <v>89.584833339999989</v>
      </c>
      <c r="O56" s="48">
        <f>O55+O53</f>
        <v>83.97338542</v>
      </c>
      <c r="P56" s="48">
        <f>P55+P53</f>
        <v>90.380871490000004</v>
      </c>
      <c r="Q56" s="48">
        <f>Q55+Q53</f>
        <v>85.230371560000009</v>
      </c>
      <c r="R56" s="49">
        <f>R55+R53</f>
        <v>92.957124999999991</v>
      </c>
      <c r="S56" s="111"/>
      <c r="T56" s="100" t="str">
        <f>'50% Exceedance Baseline'!T56</f>
        <v>Flow gage data plus cumulative inputs adjusted for streambed loss or gain</v>
      </c>
    </row>
    <row r="57" spans="2:21" s="4" customFormat="1" x14ac:dyDescent="0.25">
      <c r="B57" s="10" t="s">
        <v>8</v>
      </c>
      <c r="C57" s="8">
        <f>$C$16</f>
        <v>150</v>
      </c>
      <c r="D57" s="8">
        <f>$D$16</f>
        <v>150</v>
      </c>
      <c r="E57" s="8">
        <f>$E$16</f>
        <v>150</v>
      </c>
      <c r="F57" s="8">
        <f>$F$16</f>
        <v>150</v>
      </c>
      <c r="G57" s="8">
        <f>$G$16</f>
        <v>150</v>
      </c>
      <c r="H57" s="8">
        <f>$H$16</f>
        <v>100</v>
      </c>
      <c r="I57" s="8">
        <f>$I$16</f>
        <v>65</v>
      </c>
      <c r="J57" s="8">
        <f>$J$16</f>
        <v>65</v>
      </c>
      <c r="K57" s="8">
        <f>$K$16</f>
        <v>65</v>
      </c>
      <c r="L57" s="8">
        <f>$L$16</f>
        <v>65</v>
      </c>
      <c r="M57" s="8">
        <f>$M$16</f>
        <v>65</v>
      </c>
      <c r="N57" s="8">
        <f>$N$16</f>
        <v>65</v>
      </c>
      <c r="O57" s="8">
        <f>$O$16</f>
        <v>65</v>
      </c>
      <c r="P57" s="8">
        <f>$P$16</f>
        <v>65</v>
      </c>
      <c r="Q57" s="8">
        <f>$Q$16</f>
        <v>65</v>
      </c>
      <c r="R57" s="9">
        <f>$R$16</f>
        <v>65</v>
      </c>
      <c r="S57" s="112"/>
      <c r="T57" s="100" t="str">
        <f>'50% Exceedance Baseline'!T57</f>
        <v>Target flows</v>
      </c>
      <c r="U57" s="155"/>
    </row>
    <row r="58" spans="2:21" s="30" customFormat="1" ht="15.75" thickBot="1" x14ac:dyDescent="0.3">
      <c r="B58" s="37" t="s">
        <v>10</v>
      </c>
      <c r="C58" s="38">
        <f>IF(C56&gt;C57,0,(C57-C56)*-1)</f>
        <v>0</v>
      </c>
      <c r="D58" s="38">
        <f t="shared" ref="D58:N58" si="32">IF(D56&gt;D57,0,(D57-D56)*-1)</f>
        <v>0</v>
      </c>
      <c r="E58" s="38">
        <f t="shared" si="32"/>
        <v>0</v>
      </c>
      <c r="F58" s="38">
        <f>IF(F56&gt;F57,0,(F57-F56)*-1)</f>
        <v>0</v>
      </c>
      <c r="G58" s="38">
        <f>IF(G56&gt;G57,0,(G57-G56)*-1)</f>
        <v>0</v>
      </c>
      <c r="H58" s="38">
        <f t="shared" si="32"/>
        <v>0</v>
      </c>
      <c r="I58" s="38">
        <f t="shared" si="32"/>
        <v>0</v>
      </c>
      <c r="J58" s="38">
        <f t="shared" si="32"/>
        <v>0</v>
      </c>
      <c r="K58" s="38">
        <f t="shared" si="32"/>
        <v>0</v>
      </c>
      <c r="L58" s="38">
        <f t="shared" si="32"/>
        <v>0</v>
      </c>
      <c r="M58" s="38">
        <f t="shared" si="32"/>
        <v>0</v>
      </c>
      <c r="N58" s="38">
        <f t="shared" si="32"/>
        <v>0</v>
      </c>
      <c r="O58" s="38">
        <f>IF(O56&gt;O57,0,(O57-O56)*-1)</f>
        <v>0</v>
      </c>
      <c r="P58" s="38">
        <f>IF(P56&gt;P57,0,(P57-P56)*-1)</f>
        <v>0</v>
      </c>
      <c r="Q58" s="38">
        <f>IF(Q56&gt;Q57,0,(Q57-Q56)*-1)</f>
        <v>0</v>
      </c>
      <c r="R58" s="39">
        <f>IF(R56&gt;R57,0,(R57-R56)*-1)</f>
        <v>0</v>
      </c>
      <c r="S58" s="105"/>
      <c r="T58" s="100" t="str">
        <f>'50% Exceedance Baseline'!T58</f>
        <v>Deficit between target flows and flow gage data plus total adjusted inputs</v>
      </c>
      <c r="U58" s="29"/>
    </row>
    <row r="59" spans="2:21" s="30" customFormat="1" x14ac:dyDescent="0.25">
      <c r="B59" s="40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105"/>
      <c r="T59" s="100"/>
      <c r="U59" s="29"/>
    </row>
    <row r="60" spans="2:21" s="15" customFormat="1" ht="15.75" thickBot="1" x14ac:dyDescent="0.3">
      <c r="B60" s="60" t="s">
        <v>63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8"/>
      <c r="T60" s="100"/>
      <c r="U60" s="7"/>
    </row>
    <row r="61" spans="2:21" ht="15.75" thickBot="1" x14ac:dyDescent="0.3">
      <c r="B61" s="78" t="s">
        <v>5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121">
        <v>0</v>
      </c>
      <c r="R61" s="46">
        <v>0</v>
      </c>
      <c r="S61" s="105"/>
      <c r="T61" s="100" t="str">
        <f>'50% Exceedance Baseline'!T61</f>
        <v>Flow input between Mgt. Pt. 2 and Mgt. Pt. 3</v>
      </c>
    </row>
    <row r="62" spans="2:21" x14ac:dyDescent="0.25">
      <c r="B62" s="79" t="s">
        <v>7</v>
      </c>
      <c r="C62" s="16">
        <f>IF(C76&gt;C75,((C76-C75)*-1),((C75-C76)))</f>
        <v>145.26822920000001</v>
      </c>
      <c r="D62" s="16">
        <f t="shared" ref="D62:E62" si="33">IF(D76&gt;D75,((D76-D75)*-1),((D75-D76)))</f>
        <v>109.96515360000001</v>
      </c>
      <c r="E62" s="16">
        <f t="shared" si="33"/>
        <v>94.1171875</v>
      </c>
      <c r="F62" s="16">
        <f>IF(F76&gt;F75,((F76-F75)*-1),((F75-F76)))</f>
        <v>47.782325399999991</v>
      </c>
      <c r="G62" s="16">
        <f>IF(G76&gt;G75,((G76-G75)*-1),((G75-G76)))</f>
        <v>15.306380869999998</v>
      </c>
      <c r="H62" s="16">
        <f t="shared" ref="H62:R62" si="34">IF(H76&gt;H75,((H76-H75)*-1),((H75-H76)))</f>
        <v>4.5480955899999884</v>
      </c>
      <c r="I62" s="16">
        <f t="shared" si="34"/>
        <v>0.39788814000000627</v>
      </c>
      <c r="J62" s="16">
        <f t="shared" si="34"/>
        <v>0.5553354200000058</v>
      </c>
      <c r="K62" s="16">
        <f t="shared" si="34"/>
        <v>0.47949583999999845</v>
      </c>
      <c r="L62" s="16">
        <f t="shared" si="34"/>
        <v>8.9494909999999095E-2</v>
      </c>
      <c r="M62" s="16">
        <f t="shared" si="34"/>
        <v>0.40563072999999861</v>
      </c>
      <c r="N62" s="16">
        <f t="shared" si="34"/>
        <v>0.30071623000000614</v>
      </c>
      <c r="O62" s="16">
        <f t="shared" si="34"/>
        <v>0.20647560999999826</v>
      </c>
      <c r="P62" s="16">
        <f t="shared" si="34"/>
        <v>7.8063807099999991</v>
      </c>
      <c r="Q62" s="16">
        <f t="shared" si="34"/>
        <v>27.554258420000011</v>
      </c>
      <c r="R62" s="14">
        <f t="shared" si="34"/>
        <v>39.204537610000017</v>
      </c>
      <c r="S62" s="18"/>
      <c r="T62" s="100" t="str">
        <f>'50% Exceedance Baseline'!T62</f>
        <v>Flow target surplus or deficit after input</v>
      </c>
    </row>
    <row r="63" spans="2:21" ht="15.75" thickBot="1" x14ac:dyDescent="0.3">
      <c r="B63" s="80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7"/>
      <c r="S63" s="18"/>
    </row>
    <row r="64" spans="2:21" s="12" customFormat="1" ht="15.75" thickBot="1" x14ac:dyDescent="0.3">
      <c r="B64" s="73" t="s">
        <v>6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121">
        <v>0</v>
      </c>
      <c r="R64" s="46">
        <v>0</v>
      </c>
      <c r="S64" s="105"/>
      <c r="T64" s="100" t="str">
        <f>'50% Exceedance Baseline'!T64</f>
        <v>Flow input between Mgt. Pt. 2 and Mgt. Pt. 3</v>
      </c>
      <c r="U64" s="13"/>
    </row>
    <row r="65" spans="2:21" s="4" customFormat="1" x14ac:dyDescent="0.25">
      <c r="B65" s="79" t="s">
        <v>7</v>
      </c>
      <c r="C65" s="16">
        <f>IF(C76&gt;C75,((C76-C75)*-1),((C75-C76)))</f>
        <v>145.26822920000001</v>
      </c>
      <c r="D65" s="16">
        <f t="shared" ref="D65:R65" si="35">IF(D76&gt;D75,((D76-D75)*-1),((D75-D76)))</f>
        <v>109.96515360000001</v>
      </c>
      <c r="E65" s="16">
        <f t="shared" si="35"/>
        <v>94.1171875</v>
      </c>
      <c r="F65" s="16">
        <f t="shared" si="35"/>
        <v>47.782325399999991</v>
      </c>
      <c r="G65" s="16">
        <f t="shared" si="35"/>
        <v>15.306380869999998</v>
      </c>
      <c r="H65" s="16">
        <f t="shared" si="35"/>
        <v>4.5480955899999884</v>
      </c>
      <c r="I65" s="16">
        <f t="shared" si="35"/>
        <v>0.39788814000000627</v>
      </c>
      <c r="J65" s="16">
        <f t="shared" si="35"/>
        <v>0.5553354200000058</v>
      </c>
      <c r="K65" s="16">
        <f t="shared" si="35"/>
        <v>0.47949583999999845</v>
      </c>
      <c r="L65" s="16">
        <f t="shared" si="35"/>
        <v>8.9494909999999095E-2</v>
      </c>
      <c r="M65" s="16">
        <f t="shared" si="35"/>
        <v>0.40563072999999861</v>
      </c>
      <c r="N65" s="16">
        <f t="shared" si="35"/>
        <v>0.30071623000000614</v>
      </c>
      <c r="O65" s="16">
        <f t="shared" si="35"/>
        <v>0.20647560999999826</v>
      </c>
      <c r="P65" s="16">
        <f t="shared" si="35"/>
        <v>7.8063807099999991</v>
      </c>
      <c r="Q65" s="16">
        <f t="shared" si="35"/>
        <v>27.554258420000011</v>
      </c>
      <c r="R65" s="14">
        <f t="shared" si="35"/>
        <v>39.204537610000017</v>
      </c>
      <c r="S65" s="18"/>
      <c r="T65" s="100" t="str">
        <f>'50% Exceedance Baseline'!T65</f>
        <v>Flow target surplus or deficit after input</v>
      </c>
      <c r="U65" s="155"/>
    </row>
    <row r="66" spans="2:21" s="4" customFormat="1" ht="15.75" thickBot="1" x14ac:dyDescent="0.3">
      <c r="B66" s="80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7"/>
      <c r="S66" s="18"/>
      <c r="T66" s="100"/>
      <c r="U66" s="155"/>
    </row>
    <row r="67" spans="2:21" ht="15.75" thickBot="1" x14ac:dyDescent="0.3">
      <c r="B67" s="73" t="s">
        <v>60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121">
        <v>0</v>
      </c>
      <c r="R67" s="46">
        <v>0</v>
      </c>
      <c r="S67" s="105"/>
      <c r="T67" s="100" t="str">
        <f>'50% Exceedance Baseline'!T67</f>
        <v>Flow input between Mgt. Pt. 2 and Mgt. Pt. 3</v>
      </c>
    </row>
    <row r="68" spans="2:21" s="4" customFormat="1" x14ac:dyDescent="0.25">
      <c r="B68" s="79" t="s">
        <v>7</v>
      </c>
      <c r="C68" s="16">
        <f>IF(C76&gt;C75,((C76-C75)*-1),((C75-C76)))</f>
        <v>145.26822920000001</v>
      </c>
      <c r="D68" s="16">
        <f t="shared" ref="D68:R68" si="36">IF(D76&gt;D75,((D76-D75)*-1),((D75-D76)))</f>
        <v>109.96515360000001</v>
      </c>
      <c r="E68" s="16">
        <f t="shared" si="36"/>
        <v>94.1171875</v>
      </c>
      <c r="F68" s="16">
        <f t="shared" si="36"/>
        <v>47.782325399999991</v>
      </c>
      <c r="G68" s="16">
        <f t="shared" si="36"/>
        <v>15.306380869999998</v>
      </c>
      <c r="H68" s="16">
        <f t="shared" si="36"/>
        <v>4.5480955899999884</v>
      </c>
      <c r="I68" s="16">
        <f t="shared" si="36"/>
        <v>0.39788814000000627</v>
      </c>
      <c r="J68" s="16">
        <f t="shared" si="36"/>
        <v>0.5553354200000058</v>
      </c>
      <c r="K68" s="16">
        <f t="shared" si="36"/>
        <v>0.47949583999999845</v>
      </c>
      <c r="L68" s="16">
        <f t="shared" si="36"/>
        <v>8.9494909999999095E-2</v>
      </c>
      <c r="M68" s="16">
        <f t="shared" si="36"/>
        <v>0.40563072999999861</v>
      </c>
      <c r="N68" s="16">
        <f t="shared" si="36"/>
        <v>0.30071623000000614</v>
      </c>
      <c r="O68" s="16">
        <f t="shared" si="36"/>
        <v>0.20647560999999826</v>
      </c>
      <c r="P68" s="16">
        <f t="shared" si="36"/>
        <v>7.8063807099999991</v>
      </c>
      <c r="Q68" s="16">
        <f t="shared" si="36"/>
        <v>27.554258420000011</v>
      </c>
      <c r="R68" s="14">
        <f t="shared" si="36"/>
        <v>39.204537610000017</v>
      </c>
      <c r="S68" s="18"/>
      <c r="T68" s="100" t="str">
        <f>'50% Exceedance Baseline'!T68</f>
        <v>Flow target surplus or deficit after input</v>
      </c>
      <c r="U68" s="155"/>
    </row>
    <row r="69" spans="2:21" x14ac:dyDescent="0.25">
      <c r="B69" s="81" t="s">
        <v>22</v>
      </c>
      <c r="C69" s="18">
        <f t="shared" ref="C69:F69" si="37">SUM(C61+C64+C67)</f>
        <v>0</v>
      </c>
      <c r="D69" s="18">
        <f t="shared" si="37"/>
        <v>0</v>
      </c>
      <c r="E69" s="18">
        <f t="shared" si="37"/>
        <v>0</v>
      </c>
      <c r="F69" s="18">
        <f t="shared" si="37"/>
        <v>0</v>
      </c>
      <c r="G69" s="18">
        <f>SUM(G61+G64+G67)</f>
        <v>0</v>
      </c>
      <c r="H69" s="18">
        <f t="shared" ref="H69:N69" si="38">SUM(H61+H64+H67)</f>
        <v>0</v>
      </c>
      <c r="I69" s="18">
        <f t="shared" si="38"/>
        <v>0</v>
      </c>
      <c r="J69" s="18">
        <f t="shared" si="38"/>
        <v>0</v>
      </c>
      <c r="K69" s="18">
        <f t="shared" si="38"/>
        <v>0</v>
      </c>
      <c r="L69" s="18">
        <f t="shared" si="38"/>
        <v>0</v>
      </c>
      <c r="M69" s="18">
        <f t="shared" si="38"/>
        <v>0</v>
      </c>
      <c r="N69" s="18">
        <f t="shared" si="38"/>
        <v>0</v>
      </c>
      <c r="O69" s="18">
        <f>SUM(O61+O64+O67)</f>
        <v>0</v>
      </c>
      <c r="P69" s="18">
        <f>SUM(P61+P64+P67)</f>
        <v>0</v>
      </c>
      <c r="Q69" s="18">
        <f>SUM(Q61+Q64+Q67)</f>
        <v>0</v>
      </c>
      <c r="R69" s="17">
        <f>SUM(R61+R64+R67)</f>
        <v>0</v>
      </c>
      <c r="S69" s="18"/>
      <c r="T69" s="100" t="str">
        <f>'50% Exceedance Baseline'!T69</f>
        <v>Subtotal of all inputs in Nursery Bridge to Pepper Bridge reach</v>
      </c>
    </row>
    <row r="70" spans="2:21" s="32" customFormat="1" ht="15.75" thickBot="1" x14ac:dyDescent="0.3">
      <c r="B70" s="80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7"/>
      <c r="S70" s="18"/>
      <c r="T70" s="100"/>
    </row>
    <row r="71" spans="2:21" s="64" customFormat="1" ht="15.75" thickBot="1" x14ac:dyDescent="0.3">
      <c r="B71" s="70" t="s">
        <v>69</v>
      </c>
      <c r="C71" s="69">
        <f>'50% Exceedance Baseline'!C71</f>
        <v>-0.16</v>
      </c>
      <c r="D71" s="69">
        <f>'50% Exceedance Baseline'!D71</f>
        <v>-0.16</v>
      </c>
      <c r="E71" s="69">
        <f>'50% Exceedance Baseline'!E71</f>
        <v>-0.16</v>
      </c>
      <c r="F71" s="69">
        <f>'50% Exceedance Baseline'!F71</f>
        <v>-0.16</v>
      </c>
      <c r="G71" s="69">
        <f>'50% Exceedance Baseline'!G71</f>
        <v>-0.16</v>
      </c>
      <c r="H71" s="69">
        <f>'50% Exceedance Baseline'!H71</f>
        <v>-0.16</v>
      </c>
      <c r="I71" s="69">
        <f>'50% Exceedance Baseline'!I71</f>
        <v>-0.24</v>
      </c>
      <c r="J71" s="69">
        <f>'50% Exceedance Baseline'!J71</f>
        <v>-0.24</v>
      </c>
      <c r="K71" s="69">
        <f>'50% Exceedance Baseline'!K71</f>
        <v>-0.26500000000000001</v>
      </c>
      <c r="L71" s="69">
        <f>'50% Exceedance Baseline'!L71</f>
        <v>-0.26500000000000001</v>
      </c>
      <c r="M71" s="69">
        <f>'50% Exceedance Baseline'!M71</f>
        <v>-0.215</v>
      </c>
      <c r="N71" s="69">
        <f>'50% Exceedance Baseline'!N71</f>
        <v>-0.215</v>
      </c>
      <c r="O71" s="69">
        <f>'50% Exceedance Baseline'!O71</f>
        <v>-0.17</v>
      </c>
      <c r="P71" s="69">
        <f>'50% Exceedance Baseline'!P71</f>
        <v>-0.17</v>
      </c>
      <c r="Q71" s="82">
        <f>'50% Exceedance Baseline'!Q71</f>
        <v>0.20899999999999999</v>
      </c>
      <c r="R71" s="82">
        <f>'50% Exceedance Baseline'!R71</f>
        <v>0.20899999999999999</v>
      </c>
      <c r="S71" s="107"/>
      <c r="T71" s="100" t="str">
        <f>'50% Exceedance Baseline'!T71</f>
        <v>Percentage total inputs lost or gained due to streambed hydrology (2002-2015 WWBWC seepage data); estimated current rates halved to reflect assumed seepage reductions from future projects</v>
      </c>
    </row>
    <row r="72" spans="2:21" s="28" customFormat="1" x14ac:dyDescent="0.25">
      <c r="B72" s="84" t="s">
        <v>20</v>
      </c>
      <c r="C72" s="57">
        <f>SUM(C69+C53)*(1+C71)</f>
        <v>0</v>
      </c>
      <c r="D72" s="57">
        <f t="shared" ref="D72:N72" si="39">SUM(D69+D53)*(1+D71)</f>
        <v>0</v>
      </c>
      <c r="E72" s="57">
        <f t="shared" si="39"/>
        <v>0</v>
      </c>
      <c r="F72" s="57">
        <f t="shared" si="39"/>
        <v>32.373599999999996</v>
      </c>
      <c r="G72" s="57">
        <f t="shared" si="39"/>
        <v>96.331199999999995</v>
      </c>
      <c r="H72" s="57">
        <f t="shared" si="39"/>
        <v>67.115999999999985</v>
      </c>
      <c r="I72" s="57">
        <f t="shared" si="39"/>
        <v>48.617960000000004</v>
      </c>
      <c r="J72" s="57">
        <f t="shared" si="39"/>
        <v>47.933199999999999</v>
      </c>
      <c r="K72" s="57">
        <f t="shared" si="39"/>
        <v>47.488349999999997</v>
      </c>
      <c r="L72" s="57">
        <f t="shared" si="39"/>
        <v>49.494900000000001</v>
      </c>
      <c r="M72" s="57">
        <f t="shared" si="39"/>
        <v>45.389485000000001</v>
      </c>
      <c r="N72" s="57">
        <f t="shared" si="39"/>
        <v>46.066940000000002</v>
      </c>
      <c r="O72" s="57">
        <f>SUM(O69+O53)*(1+O71)</f>
        <v>41.748999999999995</v>
      </c>
      <c r="P72" s="122">
        <f>SUM(P69+P53)*(1+P71)</f>
        <v>43.418959999999998</v>
      </c>
      <c r="Q72" s="57">
        <f>SUM(Q69+Q53)*(1+Q71)</f>
        <v>43.231422000000009</v>
      </c>
      <c r="R72" s="68">
        <f>SUM(R69+R53)*(1+R71)</f>
        <v>30.717063000000003</v>
      </c>
      <c r="S72" s="110"/>
      <c r="T72" s="100" t="str">
        <f>'50% Exceedance Baseline'!T72</f>
        <v>Total of all upstream input flow adjusted for streambed loss or gain</v>
      </c>
    </row>
    <row r="73" spans="2:21" s="21" customFormat="1" ht="15.75" thickBot="1" x14ac:dyDescent="0.3">
      <c r="B73" s="7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3"/>
      <c r="S73" s="110"/>
      <c r="T73" s="100"/>
      <c r="U73" s="20"/>
    </row>
    <row r="74" spans="2:21" s="12" customFormat="1" ht="15.75" thickBot="1" x14ac:dyDescent="0.3">
      <c r="B74" s="87" t="s">
        <v>54</v>
      </c>
      <c r="C74" s="123">
        <f>'50% Exceedance Baseline'!C74</f>
        <v>295.26822920000001</v>
      </c>
      <c r="D74" s="123">
        <f>'50% Exceedance Baseline'!D74</f>
        <v>259.96515360000001</v>
      </c>
      <c r="E74" s="123">
        <f>'50% Exceedance Baseline'!E74</f>
        <v>244.1171875</v>
      </c>
      <c r="F74" s="123">
        <f>'50% Exceedance Baseline'!F74</f>
        <v>165.40872540000001</v>
      </c>
      <c r="G74" s="123">
        <f>'50% Exceedance Baseline'!G74</f>
        <v>68.975180870000003</v>
      </c>
      <c r="H74" s="123">
        <f>'50% Exceedance Baseline'!H74</f>
        <v>37.432095590000003</v>
      </c>
      <c r="I74" s="123">
        <f>'50% Exceedance Baseline'!I74</f>
        <v>16.779928139999999</v>
      </c>
      <c r="J74" s="123">
        <f>'50% Exceedance Baseline'!J74</f>
        <v>17.622135419999999</v>
      </c>
      <c r="K74" s="123">
        <f>'50% Exceedance Baseline'!K74</f>
        <v>17.991145840000001</v>
      </c>
      <c r="L74" s="123">
        <f>'50% Exceedance Baseline'!L74</f>
        <v>15.59459491</v>
      </c>
      <c r="M74" s="123">
        <f>'50% Exceedance Baseline'!M74</f>
        <v>20.016145730000002</v>
      </c>
      <c r="N74" s="123">
        <f>'50% Exceedance Baseline'!N74</f>
        <v>19.23377623</v>
      </c>
      <c r="O74" s="123">
        <f>'50% Exceedance Baseline'!O74</f>
        <v>23.457475609999999</v>
      </c>
      <c r="P74" s="123">
        <f>'50% Exceedance Baseline'!P74</f>
        <v>29.387420710000001</v>
      </c>
      <c r="Q74" s="123">
        <f>'50% Exceedance Baseline'!Q74</f>
        <v>49.322836420000002</v>
      </c>
      <c r="R74" s="123">
        <f>'50% Exceedance Baseline'!R74</f>
        <v>73.487474610000007</v>
      </c>
      <c r="S74" s="108"/>
      <c r="T74" s="100" t="str">
        <f>'50% Exceedance Baseline'!T74</f>
        <v>Median flow data at S-108 gage (2004-2016)</v>
      </c>
    </row>
    <row r="75" spans="2:21" s="12" customFormat="1" x14ac:dyDescent="0.25">
      <c r="B75" s="88" t="s">
        <v>38</v>
      </c>
      <c r="C75" s="89">
        <f>C74+C72</f>
        <v>295.26822920000001</v>
      </c>
      <c r="D75" s="89">
        <f t="shared" ref="D75:E75" si="40">D74+D72</f>
        <v>259.96515360000001</v>
      </c>
      <c r="E75" s="89">
        <f t="shared" si="40"/>
        <v>244.1171875</v>
      </c>
      <c r="F75" s="89">
        <f>F74+F72</f>
        <v>197.78232539999999</v>
      </c>
      <c r="G75" s="89">
        <f t="shared" ref="G75:H75" si="41">G74+G72</f>
        <v>165.30638087</v>
      </c>
      <c r="H75" s="89">
        <f t="shared" si="41"/>
        <v>104.54809558999999</v>
      </c>
      <c r="I75" s="89">
        <f>I74+I72</f>
        <v>65.397888140000006</v>
      </c>
      <c r="J75" s="89">
        <f t="shared" ref="J75:N75" si="42">J74+J72</f>
        <v>65.555335420000006</v>
      </c>
      <c r="K75" s="89">
        <f t="shared" si="42"/>
        <v>65.479495839999998</v>
      </c>
      <c r="L75" s="89">
        <f t="shared" si="42"/>
        <v>65.089494909999999</v>
      </c>
      <c r="M75" s="89">
        <f t="shared" si="42"/>
        <v>65.405630729999999</v>
      </c>
      <c r="N75" s="89">
        <f t="shared" si="42"/>
        <v>65.300716230000006</v>
      </c>
      <c r="O75" s="89">
        <f>O74+O72</f>
        <v>65.206475609999998</v>
      </c>
      <c r="P75" s="89">
        <f>P74+P72</f>
        <v>72.806380709999999</v>
      </c>
      <c r="Q75" s="89">
        <f>Q74+Q72</f>
        <v>92.554258420000011</v>
      </c>
      <c r="R75" s="90">
        <f>R74+R72</f>
        <v>104.20453761000002</v>
      </c>
      <c r="S75" s="113"/>
      <c r="T75" s="100" t="str">
        <f>'50% Exceedance Baseline'!T75</f>
        <v>Flow gage data plus cumulative inputs adjusted for streambed loss or gain</v>
      </c>
    </row>
    <row r="76" spans="2:21" s="4" customFormat="1" x14ac:dyDescent="0.25">
      <c r="B76" s="10" t="s">
        <v>8</v>
      </c>
      <c r="C76" s="8">
        <f>$C$16</f>
        <v>150</v>
      </c>
      <c r="D76" s="8">
        <f>$D$16</f>
        <v>150</v>
      </c>
      <c r="E76" s="8">
        <f>$E$16</f>
        <v>150</v>
      </c>
      <c r="F76" s="8">
        <f>$F$16</f>
        <v>150</v>
      </c>
      <c r="G76" s="8">
        <f>$G$16</f>
        <v>150</v>
      </c>
      <c r="H76" s="8">
        <f>$H$16</f>
        <v>100</v>
      </c>
      <c r="I76" s="8">
        <f>$I$16</f>
        <v>65</v>
      </c>
      <c r="J76" s="8">
        <f>$J$16</f>
        <v>65</v>
      </c>
      <c r="K76" s="8">
        <f>$K$16</f>
        <v>65</v>
      </c>
      <c r="L76" s="8">
        <f>$L$16</f>
        <v>65</v>
      </c>
      <c r="M76" s="8">
        <f>$M$16</f>
        <v>65</v>
      </c>
      <c r="N76" s="8">
        <f>$N$16</f>
        <v>65</v>
      </c>
      <c r="O76" s="8">
        <f>$O$16</f>
        <v>65</v>
      </c>
      <c r="P76" s="8">
        <f>$P$16</f>
        <v>65</v>
      </c>
      <c r="Q76" s="8">
        <f>$Q$16</f>
        <v>65</v>
      </c>
      <c r="R76" s="9">
        <f>$R$16</f>
        <v>65</v>
      </c>
      <c r="S76" s="112"/>
      <c r="T76" s="100" t="str">
        <f>'50% Exceedance Baseline'!T76</f>
        <v>Target flows</v>
      </c>
    </row>
    <row r="77" spans="2:21" ht="15.75" thickBot="1" x14ac:dyDescent="0.3">
      <c r="B77" s="37" t="s">
        <v>12</v>
      </c>
      <c r="C77" s="38">
        <f>IF(C75&gt;C76,0,(C76-C75)*-1)</f>
        <v>0</v>
      </c>
      <c r="D77" s="38">
        <f t="shared" ref="D77:E77" si="43">IF(D75&gt;D76,0,(D76-D75)*-1)</f>
        <v>0</v>
      </c>
      <c r="E77" s="38">
        <f t="shared" si="43"/>
        <v>0</v>
      </c>
      <c r="F77" s="38">
        <f>IF(F75&gt;F76,0,(F76-F75)*-1)</f>
        <v>0</v>
      </c>
      <c r="G77" s="38">
        <f t="shared" ref="G77:N77" si="44">IF(G75&gt;G76,0,(G76-G75)*-1)</f>
        <v>0</v>
      </c>
      <c r="H77" s="38">
        <f t="shared" si="44"/>
        <v>0</v>
      </c>
      <c r="I77" s="38">
        <f t="shared" si="44"/>
        <v>0</v>
      </c>
      <c r="J77" s="38">
        <f t="shared" si="44"/>
        <v>0</v>
      </c>
      <c r="K77" s="38">
        <f t="shared" si="44"/>
        <v>0</v>
      </c>
      <c r="L77" s="38">
        <f t="shared" si="44"/>
        <v>0</v>
      </c>
      <c r="M77" s="38">
        <f t="shared" si="44"/>
        <v>0</v>
      </c>
      <c r="N77" s="38">
        <f t="shared" si="44"/>
        <v>0</v>
      </c>
      <c r="O77" s="38">
        <f>IF(O75&gt;O76,0,(O76-O75)*-1)</f>
        <v>0</v>
      </c>
      <c r="P77" s="38">
        <f>IF(P75&gt;P76,0,(P76-P75)*-1)</f>
        <v>0</v>
      </c>
      <c r="Q77" s="38">
        <f>IF(Q75&gt;Q76,0,(Q76-Q75)*-1)</f>
        <v>0</v>
      </c>
      <c r="R77" s="39">
        <f>IF(R75&gt;R76,0,(R76-R75)*-1)</f>
        <v>0</v>
      </c>
      <c r="S77" s="105"/>
      <c r="T77" s="100" t="str">
        <f>'50% Exceedance Baseline'!T77</f>
        <v>Deficit between target flows and flow gage data plus total adjusted inputs</v>
      </c>
    </row>
    <row r="78" spans="2:21" x14ac:dyDescent="0.25">
      <c r="B78" s="9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110"/>
    </row>
    <row r="80" spans="2:21" x14ac:dyDescent="0.25">
      <c r="B80" s="35" t="s">
        <v>3</v>
      </c>
      <c r="C80" s="34">
        <f>'50% Exceedance Baseline'!C80</f>
        <v>30</v>
      </c>
      <c r="D80" s="34">
        <f>'50% Exceedance Baseline'!D80</f>
        <v>30</v>
      </c>
      <c r="E80" s="34">
        <f>'50% Exceedance Baseline'!E80</f>
        <v>30</v>
      </c>
      <c r="F80" s="34">
        <f>'50% Exceedance Baseline'!F80</f>
        <v>30</v>
      </c>
      <c r="G80" s="34">
        <f>'50% Exceedance Baseline'!G80</f>
        <v>10</v>
      </c>
      <c r="H80" s="34">
        <f>'50% Exceedance Baseline'!H80</f>
        <v>10</v>
      </c>
      <c r="I80" s="34">
        <f>'50% Exceedance Baseline'!I80</f>
        <v>5</v>
      </c>
      <c r="J80" s="34">
        <f>'50% Exceedance Baseline'!J80</f>
        <v>5</v>
      </c>
      <c r="K80" s="34">
        <f>'50% Exceedance Baseline'!K80</f>
        <v>3</v>
      </c>
      <c r="L80" s="34">
        <f>'50% Exceedance Baseline'!L80</f>
        <v>3</v>
      </c>
      <c r="M80" s="34">
        <f>'50% Exceedance Baseline'!M80</f>
        <v>8</v>
      </c>
      <c r="N80" s="34">
        <f>'50% Exceedance Baseline'!N80</f>
        <v>8</v>
      </c>
      <c r="O80" s="34">
        <f>'50% Exceedance Baseline'!O80</f>
        <v>10</v>
      </c>
      <c r="P80" s="34">
        <f>'50% Exceedance Baseline'!P80</f>
        <v>10</v>
      </c>
      <c r="Q80" s="34">
        <f>'50% Exceedance Baseline'!Q80</f>
        <v>20</v>
      </c>
      <c r="R80" s="34">
        <f>'50% Exceedance Baseline'!R80</f>
        <v>20</v>
      </c>
      <c r="S80" s="63"/>
      <c r="T80" s="100" t="str">
        <f>'50% Exceedance Baseline'!T80</f>
        <v>Estimates for 2014-2015</v>
      </c>
    </row>
    <row r="81" spans="2:21" s="12" customFormat="1" x14ac:dyDescent="0.25">
      <c r="B81" s="62" t="s">
        <v>110</v>
      </c>
      <c r="C81" s="19">
        <v>10</v>
      </c>
      <c r="D81" s="19">
        <v>10</v>
      </c>
      <c r="E81" s="19">
        <v>10</v>
      </c>
      <c r="F81" s="19">
        <v>10</v>
      </c>
      <c r="G81" s="19">
        <v>5</v>
      </c>
      <c r="H81" s="19">
        <v>5</v>
      </c>
      <c r="I81" s="19">
        <v>3</v>
      </c>
      <c r="J81" s="19">
        <v>3</v>
      </c>
      <c r="K81" s="19">
        <v>3</v>
      </c>
      <c r="L81" s="19">
        <v>3</v>
      </c>
      <c r="M81" s="19">
        <v>3</v>
      </c>
      <c r="N81" s="19">
        <v>3</v>
      </c>
      <c r="O81" s="19">
        <v>3</v>
      </c>
      <c r="P81" s="19">
        <v>3</v>
      </c>
      <c r="Q81" s="19">
        <v>10</v>
      </c>
      <c r="R81" s="19">
        <v>10</v>
      </c>
      <c r="S81" s="19"/>
      <c r="T81" s="100"/>
    </row>
    <row r="82" spans="2:21" s="4" customFormat="1" x14ac:dyDescent="0.25">
      <c r="B82" s="86" t="s">
        <v>11</v>
      </c>
      <c r="C82" s="92">
        <f>'50% Exceedance Baseline'!C82</f>
        <v>90</v>
      </c>
      <c r="D82" s="92">
        <f>'50% Exceedance Baseline'!D82</f>
        <v>75</v>
      </c>
      <c r="E82" s="92">
        <f>'50% Exceedance Baseline'!E82</f>
        <v>50</v>
      </c>
      <c r="F82" s="92">
        <f>'50% Exceedance Baseline'!F82</f>
        <v>50</v>
      </c>
      <c r="G82" s="92">
        <f>'50% Exceedance Baseline'!G82</f>
        <v>35</v>
      </c>
      <c r="H82" s="92">
        <f>'50% Exceedance Baseline'!H82</f>
        <v>30</v>
      </c>
      <c r="I82" s="92">
        <f>'50% Exceedance Baseline'!I82</f>
        <v>0</v>
      </c>
      <c r="J82" s="92">
        <f>'50% Exceedance Baseline'!J82</f>
        <v>0</v>
      </c>
      <c r="K82" s="92">
        <f>'50% Exceedance Baseline'!K82</f>
        <v>0</v>
      </c>
      <c r="L82" s="92">
        <f>'50% Exceedance Baseline'!L82</f>
        <v>0</v>
      </c>
      <c r="M82" s="92">
        <f>'50% Exceedance Baseline'!M82</f>
        <v>0</v>
      </c>
      <c r="N82" s="92">
        <f>'50% Exceedance Baseline'!N82</f>
        <v>0</v>
      </c>
      <c r="O82" s="92">
        <f>'50% Exceedance Baseline'!O82</f>
        <v>32</v>
      </c>
      <c r="P82" s="92">
        <f>'50% Exceedance Baseline'!P82</f>
        <v>36</v>
      </c>
      <c r="Q82" s="92">
        <f>'50% Exceedance Baseline'!Q82</f>
        <v>58</v>
      </c>
      <c r="R82" s="92">
        <f>'50% Exceedance Baseline'!R82</f>
        <v>58</v>
      </c>
      <c r="S82" s="114"/>
      <c r="T82" s="100"/>
    </row>
    <row r="83" spans="2:21" s="4" customFormat="1" x14ac:dyDescent="0.25">
      <c r="B83" s="86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114"/>
      <c r="T83" s="100"/>
    </row>
    <row r="84" spans="2:21" s="4" customFormat="1" ht="15.75" thickBot="1" x14ac:dyDescent="0.3">
      <c r="B84" s="61" t="s">
        <v>61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114"/>
      <c r="T84" s="100"/>
    </row>
    <row r="85" spans="2:21" ht="15.75" thickBot="1" x14ac:dyDescent="0.3">
      <c r="B85" s="78" t="s">
        <v>5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121">
        <v>0</v>
      </c>
      <c r="R85" s="46">
        <v>0</v>
      </c>
      <c r="S85" s="105"/>
      <c r="T85" s="100" t="str">
        <f>'50% Exceedance Baseline'!T85</f>
        <v>Flow input between Mgt. Pt. 3 and Mgt. Pt. 4</v>
      </c>
    </row>
    <row r="86" spans="2:21" x14ac:dyDescent="0.25">
      <c r="B86" s="79" t="s">
        <v>7</v>
      </c>
      <c r="C86" s="16">
        <f>IF(C100&gt;C99,((C100-C99)*-1),((C99-C100)))</f>
        <v>190.65885420000001</v>
      </c>
      <c r="D86" s="16">
        <f t="shared" ref="D86:E86" si="45">IF(D100&gt;D99,((D100-D99)*-1),((D99-D100)))</f>
        <v>127.40364579999999</v>
      </c>
      <c r="E86" s="16">
        <f t="shared" si="45"/>
        <v>109.20572920000001</v>
      </c>
      <c r="F86" s="16">
        <f>IF(F100&gt;F99,((F100-F99)*-1),((F99-F100)))</f>
        <v>80.912228999999996</v>
      </c>
      <c r="G86" s="16">
        <f>IF(G100&gt;G99,((G100-G99)*-1),((G99-G100)))</f>
        <v>11.405011599999995</v>
      </c>
      <c r="H86" s="16">
        <f t="shared" ref="H86:P86" si="46">IF(H100&gt;H99,((H100-H99)*-1),((H99-H100)))</f>
        <v>0.12078591999998878</v>
      </c>
      <c r="I86" s="16">
        <f t="shared" si="46"/>
        <v>14.697409860000008</v>
      </c>
      <c r="J86" s="16">
        <f t="shared" si="46"/>
        <v>18.200391620000005</v>
      </c>
      <c r="K86" s="16">
        <f t="shared" si="46"/>
        <v>15.889717179999991</v>
      </c>
      <c r="L86" s="16">
        <f t="shared" si="46"/>
        <v>18.591996899999998</v>
      </c>
      <c r="M86" s="16">
        <f t="shared" si="46"/>
        <v>21.306487145000006</v>
      </c>
      <c r="N86" s="16">
        <f t="shared" si="46"/>
        <v>27.989967829999998</v>
      </c>
      <c r="O86" s="16">
        <f t="shared" si="46"/>
        <v>4.2993811699999895</v>
      </c>
      <c r="P86" s="16">
        <f t="shared" si="46"/>
        <v>0.36539808000000562</v>
      </c>
      <c r="Q86" s="16">
        <f>IF(Q100&gt;Q99,((Q100-Q99)*-1),((Q99-Q100)))</f>
        <v>0.34801424400001224</v>
      </c>
      <c r="R86" s="14">
        <f>IF(R100&gt;R99,((R100-R99)*-1),((R99-R100)))</f>
        <v>0.7690249209999962</v>
      </c>
      <c r="S86" s="18"/>
      <c r="T86" s="100" t="str">
        <f>'50% Exceedance Baseline'!T86</f>
        <v>Flow target surplus or deficit after input</v>
      </c>
    </row>
    <row r="87" spans="2:21" ht="15.75" thickBot="1" x14ac:dyDescent="0.3">
      <c r="B87" s="80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7"/>
      <c r="S87" s="18"/>
    </row>
    <row r="88" spans="2:21" s="4" customFormat="1" ht="15.75" thickBot="1" x14ac:dyDescent="0.3">
      <c r="B88" s="73" t="s">
        <v>6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121">
        <v>0</v>
      </c>
      <c r="R88" s="46">
        <v>0</v>
      </c>
      <c r="S88" s="105"/>
      <c r="T88" s="100" t="str">
        <f>'50% Exceedance Baseline'!T88</f>
        <v>Flow input between Mgt. Pt. 3 and Mgt. Pt. 4</v>
      </c>
      <c r="U88" s="155"/>
    </row>
    <row r="89" spans="2:21" x14ac:dyDescent="0.25">
      <c r="B89" s="79" t="s">
        <v>7</v>
      </c>
      <c r="C89" s="16">
        <f>IF(C100&gt;C99,((C100-C99)*-1),((C99-C100)))</f>
        <v>190.65885420000001</v>
      </c>
      <c r="D89" s="16">
        <f t="shared" ref="D89:R89" si="47">IF(D100&gt;D99,((D100-D99)*-1),((D99-D100)))</f>
        <v>127.40364579999999</v>
      </c>
      <c r="E89" s="16">
        <f t="shared" si="47"/>
        <v>109.20572920000001</v>
      </c>
      <c r="F89" s="16">
        <f t="shared" si="47"/>
        <v>80.912228999999996</v>
      </c>
      <c r="G89" s="16">
        <f t="shared" si="47"/>
        <v>11.405011599999995</v>
      </c>
      <c r="H89" s="16">
        <f t="shared" si="47"/>
        <v>0.12078591999998878</v>
      </c>
      <c r="I89" s="16">
        <f t="shared" si="47"/>
        <v>14.697409860000008</v>
      </c>
      <c r="J89" s="16">
        <f t="shared" si="47"/>
        <v>18.200391620000005</v>
      </c>
      <c r="K89" s="16">
        <f t="shared" si="47"/>
        <v>15.889717179999991</v>
      </c>
      <c r="L89" s="16">
        <f t="shared" si="47"/>
        <v>18.591996899999998</v>
      </c>
      <c r="M89" s="16">
        <f t="shared" si="47"/>
        <v>21.306487145000006</v>
      </c>
      <c r="N89" s="16">
        <f t="shared" si="47"/>
        <v>27.989967829999998</v>
      </c>
      <c r="O89" s="16">
        <f t="shared" si="47"/>
        <v>4.2993811699999895</v>
      </c>
      <c r="P89" s="16">
        <f t="shared" si="47"/>
        <v>0.36539808000000562</v>
      </c>
      <c r="Q89" s="16">
        <f t="shared" si="47"/>
        <v>0.34801424400001224</v>
      </c>
      <c r="R89" s="14">
        <f t="shared" si="47"/>
        <v>0.7690249209999962</v>
      </c>
      <c r="S89" s="18"/>
      <c r="T89" s="100" t="str">
        <f>'50% Exceedance Baseline'!T89</f>
        <v>Flow target surplus or deficit after input</v>
      </c>
    </row>
    <row r="90" spans="2:21" s="4" customFormat="1" ht="15.75" thickBot="1" x14ac:dyDescent="0.3">
      <c r="B90" s="80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7"/>
      <c r="S90" s="18"/>
      <c r="T90" s="100"/>
      <c r="U90" s="155"/>
    </row>
    <row r="91" spans="2:21" s="28" customFormat="1" ht="15.75" thickBot="1" x14ac:dyDescent="0.3">
      <c r="B91" s="73" t="s">
        <v>60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121">
        <v>0</v>
      </c>
      <c r="R91" s="46">
        <v>0</v>
      </c>
      <c r="S91" s="105"/>
      <c r="T91" s="100" t="str">
        <f>'50% Exceedance Baseline'!T91</f>
        <v>Flow input between Mgt. Pt. 3 and Mgt. Pt. 4</v>
      </c>
    </row>
    <row r="92" spans="2:21" s="4" customFormat="1" x14ac:dyDescent="0.25">
      <c r="B92" s="79" t="s">
        <v>7</v>
      </c>
      <c r="C92" s="16">
        <f>IF(C100&gt;C99,((C100-C99)*-1),((C99-C100)))</f>
        <v>190.65885420000001</v>
      </c>
      <c r="D92" s="16">
        <f t="shared" ref="D92:R92" si="48">IF(D100&gt;D99,((D100-D99)*-1),((D99-D100)))</f>
        <v>127.40364579999999</v>
      </c>
      <c r="E92" s="16">
        <f t="shared" si="48"/>
        <v>109.20572920000001</v>
      </c>
      <c r="F92" s="16">
        <f t="shared" si="48"/>
        <v>80.912228999999996</v>
      </c>
      <c r="G92" s="16">
        <f t="shared" si="48"/>
        <v>11.405011599999995</v>
      </c>
      <c r="H92" s="16">
        <f t="shared" si="48"/>
        <v>0.12078591999998878</v>
      </c>
      <c r="I92" s="16">
        <f t="shared" si="48"/>
        <v>14.697409860000008</v>
      </c>
      <c r="J92" s="16">
        <f t="shared" si="48"/>
        <v>18.200391620000005</v>
      </c>
      <c r="K92" s="16">
        <f t="shared" si="48"/>
        <v>15.889717179999991</v>
      </c>
      <c r="L92" s="16">
        <f t="shared" si="48"/>
        <v>18.591996899999998</v>
      </c>
      <c r="M92" s="16">
        <f t="shared" si="48"/>
        <v>21.306487145000006</v>
      </c>
      <c r="N92" s="16">
        <f t="shared" si="48"/>
        <v>27.989967829999998</v>
      </c>
      <c r="O92" s="16">
        <f t="shared" si="48"/>
        <v>4.2993811699999895</v>
      </c>
      <c r="P92" s="16">
        <f t="shared" si="48"/>
        <v>0.36539808000000562</v>
      </c>
      <c r="Q92" s="16">
        <f t="shared" si="48"/>
        <v>0.34801424400001224</v>
      </c>
      <c r="R92" s="14">
        <f t="shared" si="48"/>
        <v>0.7690249209999962</v>
      </c>
      <c r="S92" s="18"/>
      <c r="T92" s="100" t="str">
        <f>'50% Exceedance Baseline'!T92</f>
        <v>Flow target surplus or deficit after input</v>
      </c>
      <c r="U92" s="155"/>
    </row>
    <row r="93" spans="2:21" s="4" customFormat="1" x14ac:dyDescent="0.25">
      <c r="B93" s="81" t="s">
        <v>23</v>
      </c>
      <c r="C93" s="18">
        <f t="shared" ref="C93:F93" si="49">SUM(C85+C88+C91)</f>
        <v>0</v>
      </c>
      <c r="D93" s="18">
        <f t="shared" si="49"/>
        <v>0</v>
      </c>
      <c r="E93" s="18">
        <f t="shared" si="49"/>
        <v>0</v>
      </c>
      <c r="F93" s="18">
        <f t="shared" si="49"/>
        <v>0</v>
      </c>
      <c r="G93" s="18">
        <f>SUM(G85+G88+G91)</f>
        <v>0</v>
      </c>
      <c r="H93" s="18">
        <f t="shared" ref="H93:N93" si="50">SUM(H85+H88+H91)</f>
        <v>0</v>
      </c>
      <c r="I93" s="18">
        <f t="shared" si="50"/>
        <v>0</v>
      </c>
      <c r="J93" s="18">
        <f t="shared" si="50"/>
        <v>0</v>
      </c>
      <c r="K93" s="18">
        <f t="shared" si="50"/>
        <v>0</v>
      </c>
      <c r="L93" s="18">
        <f t="shared" si="50"/>
        <v>0</v>
      </c>
      <c r="M93" s="18">
        <f t="shared" si="50"/>
        <v>0</v>
      </c>
      <c r="N93" s="18">
        <f t="shared" si="50"/>
        <v>0</v>
      </c>
      <c r="O93" s="18">
        <f>SUM(O85+O88+O91)</f>
        <v>0</v>
      </c>
      <c r="P93" s="18">
        <f>SUM(P85+P88+P91)</f>
        <v>0</v>
      </c>
      <c r="Q93" s="18">
        <f>SUM(Q85+Q88+Q91)</f>
        <v>0</v>
      </c>
      <c r="R93" s="17">
        <f>SUM(R85+R88+R91)</f>
        <v>0</v>
      </c>
      <c r="S93" s="18"/>
      <c r="T93" s="100" t="str">
        <f>'50% Exceedance Baseline'!T93</f>
        <v>Subtotal of all inputs in Pepper Bridge to Beet Road reach</v>
      </c>
      <c r="U93" s="155"/>
    </row>
    <row r="94" spans="2:21" s="26" customFormat="1" ht="15.75" thickBot="1" x14ac:dyDescent="0.3">
      <c r="B94" s="80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7"/>
      <c r="S94" s="18"/>
      <c r="T94" s="100"/>
      <c r="U94" s="25"/>
    </row>
    <row r="95" spans="2:21" s="64" customFormat="1" ht="15.75" thickBot="1" x14ac:dyDescent="0.3">
      <c r="B95" s="70" t="s">
        <v>69</v>
      </c>
      <c r="C95" s="69">
        <f>'50% Exceedance Baseline'!C95</f>
        <v>-0.107</v>
      </c>
      <c r="D95" s="69">
        <f>'50% Exceedance Baseline'!D95</f>
        <v>-0.107</v>
      </c>
      <c r="E95" s="69">
        <f>'50% Exceedance Baseline'!E95</f>
        <v>-0.107</v>
      </c>
      <c r="F95" s="69">
        <f>'50% Exceedance Baseline'!F95</f>
        <v>-0.107</v>
      </c>
      <c r="G95" s="69">
        <f>'50% Exceedance Baseline'!G95</f>
        <v>-0.107</v>
      </c>
      <c r="H95" s="69">
        <f>'50% Exceedance Baseline'!H95</f>
        <v>-0.107</v>
      </c>
      <c r="I95" s="82">
        <f>'50% Exceedance Baseline'!I95</f>
        <v>1.6E-2</v>
      </c>
      <c r="J95" s="82">
        <f>'50% Exceedance Baseline'!J95</f>
        <v>1.6E-2</v>
      </c>
      <c r="K95" s="69">
        <f>'50% Exceedance Baseline'!K95</f>
        <v>-1.9E-2</v>
      </c>
      <c r="L95" s="69">
        <f>'50% Exceedance Baseline'!L95</f>
        <v>-1.9E-2</v>
      </c>
      <c r="M95" s="69">
        <f>'50% Exceedance Baseline'!M95</f>
        <v>-4.2999999999999997E-2</v>
      </c>
      <c r="N95" s="69">
        <f>'50% Exceedance Baseline'!N95</f>
        <v>-4.2999999999999997E-2</v>
      </c>
      <c r="O95" s="69">
        <f>'50% Exceedance Baseline'!O95</f>
        <v>-2.7E-2</v>
      </c>
      <c r="P95" s="69">
        <f>'50% Exceedance Baseline'!P95</f>
        <v>-2.7E-2</v>
      </c>
      <c r="Q95" s="69">
        <f>'50% Exceedance Baseline'!Q95</f>
        <v>-3.3000000000000002E-2</v>
      </c>
      <c r="R95" s="69">
        <f>'50% Exceedance Baseline'!R95</f>
        <v>-3.3000000000000002E-2</v>
      </c>
      <c r="S95" s="107"/>
      <c r="T95" s="100" t="str">
        <f>'50% Exceedance Baseline'!T95</f>
        <v>Percentage total inputs lost or gained due to streambed hydrology (2002-2015 WWBWC seepage data)</v>
      </c>
      <c r="U95" s="83"/>
    </row>
    <row r="96" spans="2:21" x14ac:dyDescent="0.25">
      <c r="B96" s="84" t="s">
        <v>20</v>
      </c>
      <c r="C96" s="57">
        <f>SUM(C93+C72)*(1+C95)</f>
        <v>0</v>
      </c>
      <c r="D96" s="57">
        <f t="shared" ref="D96:N96" si="51">SUM(D93+D72)*(1+D95)</f>
        <v>0</v>
      </c>
      <c r="E96" s="57">
        <f t="shared" si="51"/>
        <v>0</v>
      </c>
      <c r="F96" s="57">
        <f t="shared" si="51"/>
        <v>28.909624799999996</v>
      </c>
      <c r="G96" s="57">
        <f t="shared" si="51"/>
        <v>86.0237616</v>
      </c>
      <c r="H96" s="57">
        <f t="shared" si="51"/>
        <v>59.934587999999991</v>
      </c>
      <c r="I96" s="57">
        <f t="shared" si="51"/>
        <v>49.395847360000005</v>
      </c>
      <c r="J96" s="57">
        <f t="shared" si="51"/>
        <v>48.700131200000001</v>
      </c>
      <c r="K96" s="57">
        <f t="shared" si="51"/>
        <v>46.586071349999997</v>
      </c>
      <c r="L96" s="57">
        <f t="shared" si="51"/>
        <v>48.554496900000004</v>
      </c>
      <c r="M96" s="57">
        <f t="shared" si="51"/>
        <v>43.437737145</v>
      </c>
      <c r="N96" s="57">
        <f t="shared" si="51"/>
        <v>44.086061579999999</v>
      </c>
      <c r="O96" s="57">
        <f>SUM(O93+O72)*(1+O95)</f>
        <v>40.621776999999994</v>
      </c>
      <c r="P96" s="57">
        <f>SUM(P93+P72)*(1+P95)</f>
        <v>42.24664808</v>
      </c>
      <c r="Q96" s="57">
        <f>SUM(Q93+Q72)*(1+Q95)</f>
        <v>41.804785074000009</v>
      </c>
      <c r="R96" s="58">
        <f>SUM(R93+R72)*(1+R95)</f>
        <v>29.703399921000003</v>
      </c>
      <c r="S96" s="110"/>
      <c r="T96" s="100" t="str">
        <f>'50% Exceedance Baseline'!T96</f>
        <v>Total of all upstream input flow adjusted for streambed loss or gain</v>
      </c>
    </row>
    <row r="97" spans="2:22" s="12" customFormat="1" ht="15.75" thickBot="1" x14ac:dyDescent="0.3">
      <c r="B97" s="71" t="s">
        <v>120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110"/>
      <c r="T97" s="100"/>
    </row>
    <row r="98" spans="2:22" s="4" customFormat="1" ht="15.75" thickBot="1" x14ac:dyDescent="0.3">
      <c r="B98" s="24" t="s">
        <v>55</v>
      </c>
      <c r="C98" s="123">
        <f>'50% Exceedance Baseline'!C98</f>
        <v>340.65885420000001</v>
      </c>
      <c r="D98" s="123">
        <f>'50% Exceedance Baseline'!D98</f>
        <v>277.40364579999999</v>
      </c>
      <c r="E98" s="123">
        <f>'50% Exceedance Baseline'!E98</f>
        <v>259.20572920000001</v>
      </c>
      <c r="F98" s="123">
        <f>'50% Exceedance Baseline'!F98</f>
        <v>202.00260420000001</v>
      </c>
      <c r="G98" s="123">
        <f>'50% Exceedance Baseline'!G98</f>
        <v>75.381249999999994</v>
      </c>
      <c r="H98" s="123">
        <f>'50% Exceedance Baseline'!H98</f>
        <v>40.186197919999998</v>
      </c>
      <c r="I98" s="123">
        <f>'50% Exceedance Baseline'!I98</f>
        <v>30.301562499999999</v>
      </c>
      <c r="J98" s="123">
        <f>'50% Exceedance Baseline'!J98</f>
        <v>34.500260419999996</v>
      </c>
      <c r="K98" s="123">
        <f>'50% Exceedance Baseline'!K98</f>
        <v>34.303645830000001</v>
      </c>
      <c r="L98" s="123">
        <f>'50% Exceedance Baseline'!L98</f>
        <v>35.037500000000001</v>
      </c>
      <c r="M98" s="123">
        <f>'50% Exceedance Baseline'!M98</f>
        <v>42.868749999999999</v>
      </c>
      <c r="N98" s="123">
        <f>'50% Exceedance Baseline'!N98</f>
        <v>48.903906249999999</v>
      </c>
      <c r="O98" s="123">
        <f>'50% Exceedance Baseline'!O98</f>
        <v>28.677604169999999</v>
      </c>
      <c r="P98" s="123">
        <f>'50% Exceedance Baseline'!P98</f>
        <v>23.118749999999999</v>
      </c>
      <c r="Q98" s="123">
        <f>'50% Exceedance Baseline'!Q98</f>
        <v>23.54322917</v>
      </c>
      <c r="R98" s="123">
        <f>'50% Exceedance Baseline'!R98</f>
        <v>36.065624999999997</v>
      </c>
      <c r="S98" s="19"/>
      <c r="T98" s="100" t="str">
        <f>'50% Exceedance Baseline'!T98</f>
        <v>Median flow data at S-109 gage (2002-2016)</v>
      </c>
      <c r="U98" s="155"/>
    </row>
    <row r="99" spans="2:22" x14ac:dyDescent="0.25">
      <c r="B99" s="47" t="s">
        <v>39</v>
      </c>
      <c r="C99" s="48">
        <f>(C98+C96)+C97</f>
        <v>340.65885420000001</v>
      </c>
      <c r="D99" s="48">
        <f t="shared" ref="D99:R99" si="52">(D98+D96)+D97</f>
        <v>277.40364579999999</v>
      </c>
      <c r="E99" s="48">
        <f t="shared" si="52"/>
        <v>259.20572920000001</v>
      </c>
      <c r="F99" s="48">
        <f t="shared" si="52"/>
        <v>230.912229</v>
      </c>
      <c r="G99" s="48">
        <f t="shared" si="52"/>
        <v>161.40501159999999</v>
      </c>
      <c r="H99" s="48">
        <f t="shared" si="52"/>
        <v>100.12078591999999</v>
      </c>
      <c r="I99" s="48">
        <f t="shared" si="52"/>
        <v>79.697409860000008</v>
      </c>
      <c r="J99" s="48">
        <f t="shared" si="52"/>
        <v>83.200391620000005</v>
      </c>
      <c r="K99" s="48">
        <f t="shared" si="52"/>
        <v>80.889717179999991</v>
      </c>
      <c r="L99" s="48">
        <f t="shared" si="52"/>
        <v>83.591996899999998</v>
      </c>
      <c r="M99" s="48">
        <f t="shared" si="52"/>
        <v>86.306487145000006</v>
      </c>
      <c r="N99" s="48">
        <f t="shared" si="52"/>
        <v>92.989967829999998</v>
      </c>
      <c r="O99" s="48">
        <f t="shared" si="52"/>
        <v>69.29938116999999</v>
      </c>
      <c r="P99" s="48">
        <f t="shared" si="52"/>
        <v>65.365398080000006</v>
      </c>
      <c r="Q99" s="133">
        <f t="shared" si="52"/>
        <v>65.348014244000012</v>
      </c>
      <c r="R99" s="49">
        <f t="shared" si="52"/>
        <v>65.769024920999996</v>
      </c>
      <c r="S99" s="111"/>
      <c r="T99" s="100" t="str">
        <f>'50% Exceedance Baseline'!T99</f>
        <v>Flow gage data plus cumulative inputs adjusted for streambed loss or gain</v>
      </c>
    </row>
    <row r="100" spans="2:22" x14ac:dyDescent="0.25">
      <c r="B100" s="10" t="s">
        <v>8</v>
      </c>
      <c r="C100" s="8">
        <f>$C$16</f>
        <v>150</v>
      </c>
      <c r="D100" s="8">
        <f>$D$16</f>
        <v>150</v>
      </c>
      <c r="E100" s="8">
        <f>$E$16</f>
        <v>150</v>
      </c>
      <c r="F100" s="8">
        <f>$F$16</f>
        <v>150</v>
      </c>
      <c r="G100" s="8">
        <f>$G$16</f>
        <v>150</v>
      </c>
      <c r="H100" s="8">
        <f>$H$16</f>
        <v>100</v>
      </c>
      <c r="I100" s="8">
        <f>$I$16</f>
        <v>65</v>
      </c>
      <c r="J100" s="8">
        <f>$J$16</f>
        <v>65</v>
      </c>
      <c r="K100" s="8">
        <f>$K$16</f>
        <v>65</v>
      </c>
      <c r="L100" s="8">
        <f>$L$16</f>
        <v>65</v>
      </c>
      <c r="M100" s="8">
        <f>$M$16</f>
        <v>65</v>
      </c>
      <c r="N100" s="8">
        <f>$N$16</f>
        <v>65</v>
      </c>
      <c r="O100" s="8">
        <f>$O$16</f>
        <v>65</v>
      </c>
      <c r="P100" s="8">
        <f>$P$16</f>
        <v>65</v>
      </c>
      <c r="Q100" s="8">
        <f>$Q$16</f>
        <v>65</v>
      </c>
      <c r="R100" s="9">
        <f>$R$16</f>
        <v>65</v>
      </c>
      <c r="S100" s="112"/>
      <c r="T100" s="100" t="str">
        <f>'50% Exceedance Baseline'!T100</f>
        <v>Target flows</v>
      </c>
    </row>
    <row r="101" spans="2:22" ht="15.75" thickBot="1" x14ac:dyDescent="0.3">
      <c r="B101" s="37" t="s">
        <v>13</v>
      </c>
      <c r="C101" s="38">
        <f>IF(C99&gt;C100,0,(C100-C99)*-1)</f>
        <v>0</v>
      </c>
      <c r="D101" s="38">
        <f t="shared" ref="D101:E101" si="53">IF(D99&gt;D100,0,(D100-D99)*-1)</f>
        <v>0</v>
      </c>
      <c r="E101" s="38">
        <f t="shared" si="53"/>
        <v>0</v>
      </c>
      <c r="F101" s="38">
        <f>IF(F99&gt;F100,0,(F100-F99)*-1)</f>
        <v>0</v>
      </c>
      <c r="G101" s="38">
        <f t="shared" ref="G101:N101" si="54">IF(G99&gt;G100,0,(G100-G99)*-1)</f>
        <v>0</v>
      </c>
      <c r="H101" s="38">
        <f t="shared" si="54"/>
        <v>0</v>
      </c>
      <c r="I101" s="38">
        <f t="shared" si="54"/>
        <v>0</v>
      </c>
      <c r="J101" s="38">
        <f t="shared" si="54"/>
        <v>0</v>
      </c>
      <c r="K101" s="38">
        <f t="shared" si="54"/>
        <v>0</v>
      </c>
      <c r="L101" s="38">
        <f t="shared" si="54"/>
        <v>0</v>
      </c>
      <c r="M101" s="38">
        <f t="shared" si="54"/>
        <v>0</v>
      </c>
      <c r="N101" s="38">
        <f t="shared" si="54"/>
        <v>0</v>
      </c>
      <c r="O101" s="38">
        <f>IF(O99&gt;O100,0,(O100-O99)*-1)</f>
        <v>0</v>
      </c>
      <c r="P101" s="38">
        <f>IF(P99&gt;P100,0,(P100-P99)*-1)</f>
        <v>0</v>
      </c>
      <c r="Q101" s="38">
        <f>IF(Q99&gt;Q100,0,(Q100-Q99)*-1)</f>
        <v>0</v>
      </c>
      <c r="R101" s="39">
        <f>IF(R99&gt;R100,0,(R100-R99)*-1)</f>
        <v>0</v>
      </c>
      <c r="S101" s="105"/>
      <c r="T101" s="100" t="str">
        <f>'50% Exceedance Baseline'!T101</f>
        <v>Deficit between target flows and flow gage data plus total adjusted inputs</v>
      </c>
    </row>
    <row r="102" spans="2:22" x14ac:dyDescent="0.25">
      <c r="B102" s="40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105"/>
    </row>
    <row r="103" spans="2:22" x14ac:dyDescent="0.25">
      <c r="B103" s="35" t="s">
        <v>101</v>
      </c>
      <c r="C103" s="34">
        <f>C119-C98</f>
        <v>140.34114579999999</v>
      </c>
      <c r="D103" s="34">
        <f t="shared" ref="D103:N103" si="55">D119-D98</f>
        <v>87.096354200000007</v>
      </c>
      <c r="E103" s="34">
        <f t="shared" si="55"/>
        <v>112.29427079999999</v>
      </c>
      <c r="F103" s="34">
        <f t="shared" si="55"/>
        <v>13.997395799999993</v>
      </c>
      <c r="G103" s="34">
        <f t="shared" si="55"/>
        <v>40.618750000000006</v>
      </c>
      <c r="H103" s="34">
        <f t="shared" si="55"/>
        <v>29.613802079999999</v>
      </c>
      <c r="I103" s="34">
        <f t="shared" si="55"/>
        <v>8.9984374999999979</v>
      </c>
      <c r="J103" s="34">
        <f t="shared" si="55"/>
        <v>3.6997395800000064</v>
      </c>
      <c r="K103" s="34">
        <f t="shared" si="55"/>
        <v>4.5463541700000007</v>
      </c>
      <c r="L103" s="34">
        <f t="shared" si="55"/>
        <v>7.3624999999999972</v>
      </c>
      <c r="M103" s="34">
        <f t="shared" si="55"/>
        <v>8.03125</v>
      </c>
      <c r="N103" s="34">
        <f t="shared" si="55"/>
        <v>9.0460937500000043</v>
      </c>
      <c r="O103" s="34">
        <f>O119-O98</f>
        <v>16.322395830000001</v>
      </c>
      <c r="P103" s="34">
        <f>P119-P98</f>
        <v>25.581250000000004</v>
      </c>
      <c r="Q103" s="34">
        <f>Q119-Q98</f>
        <v>37.456770829999996</v>
      </c>
      <c r="R103" s="34">
        <f>R119-R98</f>
        <v>56.634375000000006</v>
      </c>
      <c r="S103" s="63"/>
      <c r="T103" s="100" t="str">
        <f>'50% Exceedance Baseline'!T103</f>
        <v>Detour gaging data minus Beet Road gaging data</v>
      </c>
    </row>
    <row r="104" spans="2:22" s="12" customFormat="1" x14ac:dyDescent="0.25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100"/>
      <c r="U104" s="13"/>
    </row>
    <row r="105" spans="2:22" ht="15.75" thickBot="1" x14ac:dyDescent="0.3">
      <c r="B105" s="64" t="s">
        <v>65</v>
      </c>
      <c r="C105" s="22">
        <f>IF(C109&gt;0,10,0)</f>
        <v>0</v>
      </c>
      <c r="D105" s="22">
        <f t="shared" ref="D105:R105" si="56">IF(D109&gt;0,10,0)</f>
        <v>0</v>
      </c>
      <c r="E105" s="22">
        <f t="shared" si="56"/>
        <v>0</v>
      </c>
      <c r="F105" s="22">
        <f t="shared" si="56"/>
        <v>10</v>
      </c>
      <c r="G105" s="22">
        <f t="shared" si="56"/>
        <v>10</v>
      </c>
      <c r="H105" s="22">
        <f t="shared" si="56"/>
        <v>0</v>
      </c>
      <c r="I105" s="22">
        <f t="shared" si="56"/>
        <v>0</v>
      </c>
      <c r="J105" s="22">
        <f t="shared" si="56"/>
        <v>0</v>
      </c>
      <c r="K105" s="22">
        <f t="shared" si="56"/>
        <v>0</v>
      </c>
      <c r="L105" s="22">
        <f t="shared" si="56"/>
        <v>0</v>
      </c>
      <c r="M105" s="22">
        <f t="shared" si="56"/>
        <v>0</v>
      </c>
      <c r="N105" s="22">
        <f t="shared" si="56"/>
        <v>0</v>
      </c>
      <c r="O105" s="22">
        <f t="shared" si="56"/>
        <v>0</v>
      </c>
      <c r="P105" s="22">
        <f t="shared" si="56"/>
        <v>0</v>
      </c>
      <c r="Q105" s="22">
        <f t="shared" si="56"/>
        <v>0</v>
      </c>
      <c r="R105" s="22">
        <f t="shared" si="56"/>
        <v>0</v>
      </c>
      <c r="S105" s="110"/>
      <c r="T105" s="101" t="s">
        <v>118</v>
      </c>
      <c r="U105" s="139">
        <f>SUM(C105:R105)*15*1.9835</f>
        <v>595.05000000000007</v>
      </c>
      <c r="V105" s="11" t="s">
        <v>122</v>
      </c>
    </row>
    <row r="106" spans="2:22" ht="15.75" thickBot="1" x14ac:dyDescent="0.3">
      <c r="B106" s="72" t="s">
        <v>119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105"/>
      <c r="T106" s="100" t="str">
        <f>'50% Exceedance Baseline'!T106</f>
        <v>Flow input between Mgt. Pt. 4 and Mgt. Pt. 5</v>
      </c>
    </row>
    <row r="107" spans="2:22" x14ac:dyDescent="0.25">
      <c r="B107" s="79" t="s">
        <v>7</v>
      </c>
      <c r="C107" s="16">
        <f>IF(C121&gt;C120,((C121-C120)*-1),((C120-C121)))</f>
        <v>331</v>
      </c>
      <c r="D107" s="16">
        <f t="shared" ref="D107:E107" si="57">IF(D121&gt;D120,((D121-D120)*-1),((D120-D121)))</f>
        <v>214.5</v>
      </c>
      <c r="E107" s="16">
        <f t="shared" si="57"/>
        <v>221.5</v>
      </c>
      <c r="F107" s="16">
        <f>IF(F121&gt;F120,((F121-F120)*-1),((F120-F121)))</f>
        <v>129.45736541999997</v>
      </c>
      <c r="G107" s="16">
        <f>IF(G121&gt;G120,((G121-G120)*-1),((G120-G121)))</f>
        <v>69.549355639999987</v>
      </c>
      <c r="H107" s="16">
        <f t="shared" ref="H107:R107" si="58">IF(H121&gt;H120,((H121-H120)*-1),((H120-H121)))</f>
        <v>31.232952699999998</v>
      </c>
      <c r="I107" s="16">
        <f t="shared" si="58"/>
        <v>25.474097864960001</v>
      </c>
      <c r="J107" s="16">
        <f t="shared" si="58"/>
        <v>23.653335923200004</v>
      </c>
      <c r="K107" s="16">
        <f t="shared" si="58"/>
        <v>17.594320997650001</v>
      </c>
      <c r="L107" s="16">
        <f t="shared" si="58"/>
        <v>22.99267258910001</v>
      </c>
      <c r="M107" s="16">
        <f t="shared" si="58"/>
        <v>28.946797510695006</v>
      </c>
      <c r="N107" s="16">
        <f t="shared" si="58"/>
        <v>36.639287025779993</v>
      </c>
      <c r="O107" s="16">
        <f t="shared" si="58"/>
        <v>26.71504354999999</v>
      </c>
      <c r="P107" s="16">
        <f t="shared" si="58"/>
        <v>32.283645291999989</v>
      </c>
      <c r="Q107" s="16">
        <f t="shared" si="58"/>
        <v>32.871820435268006</v>
      </c>
      <c r="R107" s="14">
        <f t="shared" si="58"/>
        <v>53.898398730322</v>
      </c>
      <c r="S107" s="18"/>
      <c r="T107" s="100" t="str">
        <f>'50% Exceedance Baseline'!T107</f>
        <v>Flow target surplus or deficit after input</v>
      </c>
    </row>
    <row r="108" spans="2:22" ht="15.75" thickBot="1" x14ac:dyDescent="0.3">
      <c r="B108" s="80"/>
      <c r="C108" s="18"/>
      <c r="D108" s="18"/>
      <c r="E108" s="18"/>
      <c r="F108" s="18"/>
      <c r="G108" s="18">
        <v>25</v>
      </c>
      <c r="H108" s="18">
        <v>20</v>
      </c>
      <c r="I108" s="18"/>
      <c r="J108" s="18"/>
      <c r="K108" s="18"/>
      <c r="L108" s="18"/>
      <c r="M108" s="18"/>
      <c r="N108" s="18"/>
      <c r="O108" s="18">
        <v>22</v>
      </c>
      <c r="P108" s="18">
        <v>26</v>
      </c>
      <c r="Q108" s="18"/>
      <c r="R108" s="17"/>
      <c r="S108" s="18"/>
    </row>
    <row r="109" spans="2:22" ht="15.75" thickBot="1" x14ac:dyDescent="0.3">
      <c r="B109" s="73" t="s">
        <v>116</v>
      </c>
      <c r="C109" s="46">
        <v>0</v>
      </c>
      <c r="D109" s="46">
        <v>0</v>
      </c>
      <c r="E109" s="46">
        <v>0</v>
      </c>
      <c r="F109" s="46">
        <v>33</v>
      </c>
      <c r="G109" s="46">
        <v>15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105"/>
      <c r="T109" s="100" t="str">
        <f>'50% Exceedance Baseline'!T109</f>
        <v>Flow input between Mgt. Pt. 4 and Mgt. Pt. 5</v>
      </c>
    </row>
    <row r="110" spans="2:22" x14ac:dyDescent="0.25">
      <c r="B110" s="79" t="s">
        <v>7</v>
      </c>
      <c r="C110" s="16">
        <f>IF(C121&gt;C120,((C121-C120)*-1),((C120-C121)))</f>
        <v>331</v>
      </c>
      <c r="D110" s="16">
        <f t="shared" ref="D110:R110" si="59">IF(D121&gt;D120,((D121-D120)*-1),((D120-D121)))</f>
        <v>214.5</v>
      </c>
      <c r="E110" s="16">
        <f t="shared" si="59"/>
        <v>221.5</v>
      </c>
      <c r="F110" s="16">
        <f t="shared" si="59"/>
        <v>129.45736541999997</v>
      </c>
      <c r="G110" s="16">
        <f t="shared" si="59"/>
        <v>69.549355639999987</v>
      </c>
      <c r="H110" s="16">
        <f t="shared" si="59"/>
        <v>31.232952699999998</v>
      </c>
      <c r="I110" s="16">
        <f t="shared" si="59"/>
        <v>25.474097864960001</v>
      </c>
      <c r="J110" s="16">
        <f t="shared" si="59"/>
        <v>23.653335923200004</v>
      </c>
      <c r="K110" s="16">
        <f t="shared" si="59"/>
        <v>17.594320997650001</v>
      </c>
      <c r="L110" s="16">
        <f t="shared" si="59"/>
        <v>22.99267258910001</v>
      </c>
      <c r="M110" s="16">
        <f t="shared" si="59"/>
        <v>28.946797510695006</v>
      </c>
      <c r="N110" s="16">
        <f t="shared" si="59"/>
        <v>36.639287025779993</v>
      </c>
      <c r="O110" s="16">
        <f t="shared" si="59"/>
        <v>26.71504354999999</v>
      </c>
      <c r="P110" s="16">
        <f t="shared" si="59"/>
        <v>32.283645291999989</v>
      </c>
      <c r="Q110" s="16">
        <f t="shared" si="59"/>
        <v>32.871820435268006</v>
      </c>
      <c r="R110" s="14">
        <f t="shared" si="59"/>
        <v>53.898398730322</v>
      </c>
      <c r="S110" s="18"/>
      <c r="T110" s="100" t="str">
        <f>'50% Exceedance Baseline'!T110</f>
        <v>Flow target surplus or deficit after input</v>
      </c>
    </row>
    <row r="111" spans="2:22" s="4" customFormat="1" ht="15.75" thickBot="1" x14ac:dyDescent="0.3">
      <c r="B111" s="135" t="s">
        <v>115</v>
      </c>
      <c r="C111" s="136">
        <f t="shared" ref="C111:R111" si="60">C109*15*1.9835</f>
        <v>0</v>
      </c>
      <c r="D111" s="136">
        <f t="shared" si="60"/>
        <v>0</v>
      </c>
      <c r="E111" s="136">
        <f t="shared" si="60"/>
        <v>0</v>
      </c>
      <c r="F111" s="136">
        <f t="shared" si="60"/>
        <v>981.83249999999998</v>
      </c>
      <c r="G111" s="136">
        <f>G109*15*1.9835</f>
        <v>446.28750000000002</v>
      </c>
      <c r="H111" s="136">
        <f t="shared" si="60"/>
        <v>0</v>
      </c>
      <c r="I111" s="136">
        <f t="shared" si="60"/>
        <v>0</v>
      </c>
      <c r="J111" s="136">
        <f t="shared" si="60"/>
        <v>0</v>
      </c>
      <c r="K111" s="136">
        <f t="shared" si="60"/>
        <v>0</v>
      </c>
      <c r="L111" s="136">
        <f t="shared" si="60"/>
        <v>0</v>
      </c>
      <c r="M111" s="136">
        <f t="shared" si="60"/>
        <v>0</v>
      </c>
      <c r="N111" s="136">
        <f t="shared" si="60"/>
        <v>0</v>
      </c>
      <c r="O111" s="136">
        <f t="shared" si="60"/>
        <v>0</v>
      </c>
      <c r="P111" s="136">
        <f t="shared" si="60"/>
        <v>0</v>
      </c>
      <c r="Q111" s="136">
        <f t="shared" si="60"/>
        <v>0</v>
      </c>
      <c r="R111" s="137">
        <f t="shared" si="60"/>
        <v>0</v>
      </c>
      <c r="S111" s="136"/>
      <c r="T111" s="101" t="s">
        <v>118</v>
      </c>
      <c r="U111" s="139">
        <f>SUM(C111:R111)</f>
        <v>1428.12</v>
      </c>
    </row>
    <row r="112" spans="2:22" ht="15.75" thickBot="1" x14ac:dyDescent="0.3">
      <c r="B112" s="73" t="s">
        <v>60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121">
        <v>0</v>
      </c>
      <c r="R112" s="46">
        <v>0</v>
      </c>
      <c r="S112" s="105"/>
      <c r="T112" s="100" t="str">
        <f>'50% Exceedance Baseline'!T112</f>
        <v>Flow input between Mgt. Pt. 4 and Mgt. Pt. 5</v>
      </c>
    </row>
    <row r="113" spans="2:22" x14ac:dyDescent="0.25">
      <c r="B113" s="79" t="s">
        <v>7</v>
      </c>
      <c r="C113" s="16">
        <f>IF(C121&gt;C120,((C121-C120)*-1),((C120-C121)))</f>
        <v>331</v>
      </c>
      <c r="D113" s="16">
        <f t="shared" ref="D113" si="61">IF(D121&gt;D120,((D121-D120)*-1),((D120-D121)))</f>
        <v>214.5</v>
      </c>
      <c r="E113" s="16">
        <f>IF(E121&gt;E120,((E121-E120)*-1),((E120-E121)))</f>
        <v>221.5</v>
      </c>
      <c r="F113" s="16">
        <f t="shared" ref="F113:R113" si="62">IF(F121&gt;F120,((F121-F120)*-1),((F120-F121)))</f>
        <v>129.45736541999997</v>
      </c>
      <c r="G113" s="16">
        <f t="shared" si="62"/>
        <v>69.549355639999987</v>
      </c>
      <c r="H113" s="16">
        <f t="shared" si="62"/>
        <v>31.232952699999998</v>
      </c>
      <c r="I113" s="16">
        <f t="shared" si="62"/>
        <v>25.474097864960001</v>
      </c>
      <c r="J113" s="16">
        <f t="shared" si="62"/>
        <v>23.653335923200004</v>
      </c>
      <c r="K113" s="16">
        <f t="shared" si="62"/>
        <v>17.594320997650001</v>
      </c>
      <c r="L113" s="16">
        <f t="shared" si="62"/>
        <v>22.99267258910001</v>
      </c>
      <c r="M113" s="16">
        <f t="shared" si="62"/>
        <v>28.946797510695006</v>
      </c>
      <c r="N113" s="16">
        <f t="shared" si="62"/>
        <v>36.639287025779993</v>
      </c>
      <c r="O113" s="16">
        <f t="shared" si="62"/>
        <v>26.71504354999999</v>
      </c>
      <c r="P113" s="16">
        <f t="shared" si="62"/>
        <v>32.283645291999989</v>
      </c>
      <c r="Q113" s="16">
        <f t="shared" si="62"/>
        <v>32.871820435268006</v>
      </c>
      <c r="R113" s="14">
        <f t="shared" si="62"/>
        <v>53.898398730322</v>
      </c>
      <c r="S113" s="18"/>
      <c r="T113" s="100" t="str">
        <f>'50% Exceedance Baseline'!T113</f>
        <v>Flow target surplus or deficit after input</v>
      </c>
    </row>
    <row r="114" spans="2:22" s="11" customFormat="1" x14ac:dyDescent="0.25">
      <c r="B114" s="81" t="s">
        <v>24</v>
      </c>
      <c r="C114" s="18">
        <f>SUM(C106+C109+C112)</f>
        <v>0</v>
      </c>
      <c r="D114" s="18">
        <f t="shared" ref="D114:F114" si="63">SUM(D106+D109+D112)</f>
        <v>0</v>
      </c>
      <c r="E114" s="18">
        <f t="shared" si="63"/>
        <v>0</v>
      </c>
      <c r="F114" s="18">
        <f t="shared" si="63"/>
        <v>33</v>
      </c>
      <c r="G114" s="18">
        <f>SUM(G106+G109+G112)</f>
        <v>15</v>
      </c>
      <c r="H114" s="18">
        <f t="shared" ref="H114:N114" si="64">SUM(H106+H109+H112)</f>
        <v>0</v>
      </c>
      <c r="I114" s="18">
        <f t="shared" si="64"/>
        <v>0</v>
      </c>
      <c r="J114" s="18">
        <f t="shared" si="64"/>
        <v>0</v>
      </c>
      <c r="K114" s="18">
        <f t="shared" si="64"/>
        <v>0</v>
      </c>
      <c r="L114" s="18">
        <f t="shared" si="64"/>
        <v>0</v>
      </c>
      <c r="M114" s="18">
        <f t="shared" si="64"/>
        <v>0</v>
      </c>
      <c r="N114" s="18">
        <f t="shared" si="64"/>
        <v>0</v>
      </c>
      <c r="O114" s="18">
        <f>SUM(O106+O109+O112)</f>
        <v>0</v>
      </c>
      <c r="P114" s="18">
        <f>SUM(P106+P109+P112)</f>
        <v>0</v>
      </c>
      <c r="Q114" s="18">
        <f>SUM(Q106+Q109+Q112)</f>
        <v>0</v>
      </c>
      <c r="R114" s="17">
        <f>SUM(R106+R109+R112)</f>
        <v>0</v>
      </c>
      <c r="S114" s="18"/>
      <c r="T114" s="100" t="str">
        <f>'50% Exceedance Baseline'!T114</f>
        <v>Subtotal of all inputs in Beet Road to Detour Road reach</v>
      </c>
      <c r="U114" s="8"/>
    </row>
    <row r="115" spans="2:22" ht="15.75" thickBot="1" x14ac:dyDescent="0.3">
      <c r="B115" s="80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7"/>
      <c r="S115" s="18"/>
    </row>
    <row r="116" spans="2:22" s="64" customFormat="1" ht="15.75" thickBot="1" x14ac:dyDescent="0.3">
      <c r="B116" s="70" t="s">
        <v>69</v>
      </c>
      <c r="C116" s="82">
        <f>'50% Exceedance Baseline'!C116</f>
        <v>2.5000000000000001E-2</v>
      </c>
      <c r="D116" s="82">
        <f>'50% Exceedance Baseline'!D116</f>
        <v>2.5000000000000001E-2</v>
      </c>
      <c r="E116" s="82">
        <f>'50% Exceedance Baseline'!E116</f>
        <v>2.5000000000000001E-2</v>
      </c>
      <c r="F116" s="82">
        <f>'50% Exceedance Baseline'!F116</f>
        <v>2.5000000000000001E-2</v>
      </c>
      <c r="G116" s="82">
        <f>'50% Exceedance Baseline'!G116</f>
        <v>2.5000000000000001E-2</v>
      </c>
      <c r="H116" s="82">
        <f>'50% Exceedance Baseline'!H116</f>
        <v>2.5000000000000001E-2</v>
      </c>
      <c r="I116" s="82">
        <f>'50% Exceedance Baseline'!I116</f>
        <v>3.5999999999999997E-2</v>
      </c>
      <c r="J116" s="82">
        <f>'50% Exceedance Baseline'!J116</f>
        <v>3.5999999999999997E-2</v>
      </c>
      <c r="K116" s="69">
        <f>'50% Exceedance Baseline'!K116</f>
        <v>-6.0999999999999999E-2</v>
      </c>
      <c r="L116" s="69">
        <f>'50% Exceedance Baseline'!L116</f>
        <v>-6.0999999999999999E-2</v>
      </c>
      <c r="M116" s="69">
        <f>'50% Exceedance Baseline'!M116</f>
        <v>-8.9999999999999993E-3</v>
      </c>
      <c r="N116" s="69">
        <f>'50% Exceedance Baseline'!N116</f>
        <v>-8.9999999999999993E-3</v>
      </c>
      <c r="O116" s="69">
        <f>'50% Exceedance Baseline'!O116</f>
        <v>0.15</v>
      </c>
      <c r="P116" s="69">
        <f>'50% Exceedance Baseline'!P116</f>
        <v>0.15</v>
      </c>
      <c r="Q116" s="69">
        <f>'50% Exceedance Baseline'!Q116</f>
        <v>-0.11799999999999999</v>
      </c>
      <c r="R116" s="69">
        <f>'50% Exceedance Baseline'!R116</f>
        <v>-0.11799999999999999</v>
      </c>
      <c r="S116" s="106"/>
      <c r="T116" s="100" t="str">
        <f>'50% Exceedance Baseline'!T116</f>
        <v>Percentage total inputs lost or gained due to streambed hydrology (2002-2015 WWBWC seepage data)</v>
      </c>
      <c r="U116" s="83"/>
    </row>
    <row r="117" spans="2:22" s="26" customFormat="1" x14ac:dyDescent="0.25">
      <c r="B117" s="84" t="s">
        <v>20</v>
      </c>
      <c r="C117" s="57">
        <f>SUM(C114+C96)*(1+C116)</f>
        <v>0</v>
      </c>
      <c r="D117" s="57">
        <f t="shared" ref="D117:N117" si="65">SUM(D114+D96)*(1+D116)</f>
        <v>0</v>
      </c>
      <c r="E117" s="57">
        <f t="shared" si="65"/>
        <v>0</v>
      </c>
      <c r="F117" s="57">
        <f t="shared" si="65"/>
        <v>63.457365419999988</v>
      </c>
      <c r="G117" s="57">
        <f t="shared" si="65"/>
        <v>103.54935563999999</v>
      </c>
      <c r="H117" s="57">
        <f t="shared" si="65"/>
        <v>61.432952699999987</v>
      </c>
      <c r="I117" s="57">
        <f t="shared" si="65"/>
        <v>51.174097864960004</v>
      </c>
      <c r="J117" s="57">
        <f t="shared" si="65"/>
        <v>50.453335923200001</v>
      </c>
      <c r="K117" s="57">
        <f t="shared" si="65"/>
        <v>43.74432099765</v>
      </c>
      <c r="L117" s="57">
        <f t="shared" si="65"/>
        <v>45.592672589100005</v>
      </c>
      <c r="M117" s="57">
        <f t="shared" si="65"/>
        <v>43.046797510695001</v>
      </c>
      <c r="N117" s="57">
        <f t="shared" si="65"/>
        <v>43.689287025779997</v>
      </c>
      <c r="O117" s="57">
        <f>SUM(O114+O96)*(1+O116)</f>
        <v>46.71504354999999</v>
      </c>
      <c r="P117" s="122">
        <f>SUM(P114+P96)*(1+P116)</f>
        <v>48.583645291999993</v>
      </c>
      <c r="Q117" s="57">
        <f>SUM(Q114+Q96)*(1+Q116)</f>
        <v>36.871820435268006</v>
      </c>
      <c r="R117" s="68">
        <f>SUM(R114+R96)*(1+R116)</f>
        <v>26.198398730322001</v>
      </c>
      <c r="S117" s="110"/>
      <c r="T117" s="100" t="str">
        <f>'50% Exceedance Baseline'!T117</f>
        <v>Total of all upstream input flow adjusted for streambed loss or gain</v>
      </c>
      <c r="U117" s="25"/>
    </row>
    <row r="118" spans="2:22" ht="15.75" thickBot="1" x14ac:dyDescent="0.3">
      <c r="B118" s="7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3"/>
      <c r="S118" s="110"/>
    </row>
    <row r="119" spans="2:22" ht="16.5" thickBot="1" x14ac:dyDescent="0.3">
      <c r="B119" s="41" t="s">
        <v>56</v>
      </c>
      <c r="C119" s="123">
        <v>481</v>
      </c>
      <c r="D119" s="123">
        <v>364.5</v>
      </c>
      <c r="E119" s="123">
        <v>371.5</v>
      </c>
      <c r="F119" s="123">
        <v>216</v>
      </c>
      <c r="G119" s="123">
        <v>116</v>
      </c>
      <c r="H119" s="123">
        <v>69.8</v>
      </c>
      <c r="I119" s="123">
        <v>39.299999999999997</v>
      </c>
      <c r="J119" s="123">
        <v>38.200000000000003</v>
      </c>
      <c r="K119" s="123">
        <v>38.85</v>
      </c>
      <c r="L119" s="123">
        <v>42.4</v>
      </c>
      <c r="M119" s="123">
        <v>50.9</v>
      </c>
      <c r="N119" s="123">
        <v>57.95</v>
      </c>
      <c r="O119" s="123">
        <v>45</v>
      </c>
      <c r="P119" s="123">
        <v>48.7</v>
      </c>
      <c r="Q119" s="123">
        <v>61</v>
      </c>
      <c r="R119" s="123">
        <v>92.7</v>
      </c>
      <c r="S119" s="109"/>
      <c r="T119" s="100" t="str">
        <f>'50% Exceedance Baseline'!T119</f>
        <v>Median flow data at S-110 gage (2002-2016)</v>
      </c>
    </row>
    <row r="120" spans="2:22" x14ac:dyDescent="0.25">
      <c r="B120" s="47" t="s">
        <v>40</v>
      </c>
      <c r="C120" s="48">
        <f>C119+C117</f>
        <v>481</v>
      </c>
      <c r="D120" s="48">
        <f t="shared" ref="D120:E120" si="66">D119+D117</f>
        <v>364.5</v>
      </c>
      <c r="E120" s="48">
        <f t="shared" si="66"/>
        <v>371.5</v>
      </c>
      <c r="F120" s="48">
        <f>F119+F117</f>
        <v>279.45736541999997</v>
      </c>
      <c r="G120" s="48">
        <f t="shared" ref="G120:H120" si="67">G119+G117</f>
        <v>219.54935563999999</v>
      </c>
      <c r="H120" s="48">
        <f t="shared" si="67"/>
        <v>131.2329527</v>
      </c>
      <c r="I120" s="48">
        <f>I119+I117</f>
        <v>90.474097864960001</v>
      </c>
      <c r="J120" s="48">
        <f t="shared" ref="J120:N120" si="68">J119+J117</f>
        <v>88.653335923200004</v>
      </c>
      <c r="K120" s="48">
        <f t="shared" si="68"/>
        <v>82.594320997650001</v>
      </c>
      <c r="L120" s="48">
        <f t="shared" si="68"/>
        <v>87.99267258910001</v>
      </c>
      <c r="M120" s="48">
        <f t="shared" si="68"/>
        <v>93.946797510695006</v>
      </c>
      <c r="N120" s="48">
        <f t="shared" si="68"/>
        <v>101.63928702577999</v>
      </c>
      <c r="O120" s="48">
        <f>O119+O117</f>
        <v>91.71504354999999</v>
      </c>
      <c r="P120" s="48">
        <f>P119+P117</f>
        <v>97.283645291999989</v>
      </c>
      <c r="Q120" s="48">
        <f>Q119+Q117</f>
        <v>97.871820435268006</v>
      </c>
      <c r="R120" s="49">
        <f>R119+R117</f>
        <v>118.898398730322</v>
      </c>
      <c r="S120" s="111"/>
      <c r="T120" s="100" t="str">
        <f>'50% Exceedance Baseline'!T120</f>
        <v>Flow gage data plus cumulative inputs adjusted for streambed loss or gain</v>
      </c>
    </row>
    <row r="121" spans="2:22" x14ac:dyDescent="0.25">
      <c r="B121" s="10" t="s">
        <v>8</v>
      </c>
      <c r="C121" s="8">
        <f>$C$16</f>
        <v>150</v>
      </c>
      <c r="D121" s="8">
        <f>$D$16</f>
        <v>150</v>
      </c>
      <c r="E121" s="8">
        <f>$E$16</f>
        <v>150</v>
      </c>
      <c r="F121" s="8">
        <f>$F$16</f>
        <v>150</v>
      </c>
      <c r="G121" s="8">
        <f>$G$16</f>
        <v>150</v>
      </c>
      <c r="H121" s="8">
        <f>$H$16</f>
        <v>100</v>
      </c>
      <c r="I121" s="8">
        <f>$I$16</f>
        <v>65</v>
      </c>
      <c r="J121" s="8">
        <f>$J$16</f>
        <v>65</v>
      </c>
      <c r="K121" s="8">
        <f>$K$16</f>
        <v>65</v>
      </c>
      <c r="L121" s="8">
        <f>$L$16</f>
        <v>65</v>
      </c>
      <c r="M121" s="8">
        <f>$M$16</f>
        <v>65</v>
      </c>
      <c r="N121" s="8">
        <f>$N$16</f>
        <v>65</v>
      </c>
      <c r="O121" s="8">
        <f>$O$16</f>
        <v>65</v>
      </c>
      <c r="P121" s="8">
        <f>$P$16</f>
        <v>65</v>
      </c>
      <c r="Q121" s="8">
        <f>$Q$16</f>
        <v>65</v>
      </c>
      <c r="R121" s="9">
        <f>$R$16</f>
        <v>65</v>
      </c>
      <c r="S121" s="112"/>
      <c r="T121" s="100" t="str">
        <f>'50% Exceedance Baseline'!T121</f>
        <v>Target flows</v>
      </c>
    </row>
    <row r="122" spans="2:22" ht="15.75" thickBot="1" x14ac:dyDescent="0.3">
      <c r="B122" s="37" t="s">
        <v>14</v>
      </c>
      <c r="C122" s="38">
        <f>IF(C120&gt;C121,0,(C121-C120)*-1)</f>
        <v>0</v>
      </c>
      <c r="D122" s="38">
        <f t="shared" ref="D122:E122" si="69">IF(D120&gt;D121,0,(D121-D120)*-1)</f>
        <v>0</v>
      </c>
      <c r="E122" s="38">
        <f t="shared" si="69"/>
        <v>0</v>
      </c>
      <c r="F122" s="38">
        <f>IF(F120&gt;F121,0,(F121-F120)*-1)</f>
        <v>0</v>
      </c>
      <c r="G122" s="38">
        <f t="shared" ref="G122:N122" si="70">IF(G120&gt;G121,0,(G121-G120)*-1)</f>
        <v>0</v>
      </c>
      <c r="H122" s="38">
        <f>IF(H120&gt;H121,0,(H121-H120)*-1)</f>
        <v>0</v>
      </c>
      <c r="I122" s="38">
        <f t="shared" si="70"/>
        <v>0</v>
      </c>
      <c r="J122" s="38">
        <f t="shared" si="70"/>
        <v>0</v>
      </c>
      <c r="K122" s="38">
        <f t="shared" si="70"/>
        <v>0</v>
      </c>
      <c r="L122" s="38">
        <f t="shared" si="70"/>
        <v>0</v>
      </c>
      <c r="M122" s="38">
        <f t="shared" si="70"/>
        <v>0</v>
      </c>
      <c r="N122" s="38">
        <f t="shared" si="70"/>
        <v>0</v>
      </c>
      <c r="O122" s="38">
        <f>IF(O120&gt;O121,0,(O121-O120)*-1)</f>
        <v>0</v>
      </c>
      <c r="P122" s="38">
        <f>IF(P120&gt;P121,0,(P121-P120)*-1)</f>
        <v>0</v>
      </c>
      <c r="Q122" s="38">
        <f>IF(Q120&gt;Q121,0,(Q121-Q120)*-1)</f>
        <v>0</v>
      </c>
      <c r="R122" s="39">
        <f>IF(R120&gt;R121,0,(R121-R120)*-1)</f>
        <v>0</v>
      </c>
      <c r="S122" s="105"/>
      <c r="T122" s="100" t="str">
        <f>'50% Exceedance Baseline'!T122</f>
        <v>Deficit between target flows and flow gage data plus total adjusted inputs</v>
      </c>
    </row>
    <row r="123" spans="2:22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115"/>
    </row>
    <row r="124" spans="2:22" x14ac:dyDescent="0.25">
      <c r="B124" s="86" t="s">
        <v>18</v>
      </c>
      <c r="C124" s="99">
        <f>'50% Exceedance Baseline'!C124</f>
        <v>30</v>
      </c>
      <c r="D124" s="99">
        <f>'50% Exceedance Baseline'!D124</f>
        <v>30</v>
      </c>
      <c r="E124" s="99">
        <f>'50% Exceedance Baseline'!E124</f>
        <v>30</v>
      </c>
      <c r="F124" s="99">
        <f>'50% Exceedance Baseline'!F124</f>
        <v>30</v>
      </c>
      <c r="G124" s="99">
        <f>'50% Exceedance Baseline'!G124</f>
        <v>30</v>
      </c>
      <c r="H124" s="99">
        <f>'50% Exceedance Baseline'!H124</f>
        <v>30</v>
      </c>
      <c r="I124" s="99">
        <f>'50% Exceedance Baseline'!I124</f>
        <v>18</v>
      </c>
      <c r="J124" s="99">
        <f>'50% Exceedance Baseline'!J124</f>
        <v>22</v>
      </c>
      <c r="K124" s="99">
        <f>'50% Exceedance Baseline'!K124</f>
        <v>22</v>
      </c>
      <c r="L124" s="99">
        <f>'50% Exceedance Baseline'!L124</f>
        <v>22</v>
      </c>
      <c r="M124" s="99">
        <f>'50% Exceedance Baseline'!M124</f>
        <v>25</v>
      </c>
      <c r="N124" s="99">
        <f>'50% Exceedance Baseline'!N124</f>
        <v>25</v>
      </c>
      <c r="O124" s="99">
        <f>'50% Exceedance Baseline'!O124</f>
        <v>0</v>
      </c>
      <c r="P124" s="99">
        <f>'50% Exceedance Baseline'!P124</f>
        <v>0</v>
      </c>
      <c r="Q124" s="99">
        <f>'50% Exceedance Baseline'!Q124</f>
        <v>30</v>
      </c>
      <c r="R124" s="99">
        <f>'50% Exceedance Baseline'!R124</f>
        <v>30</v>
      </c>
      <c r="S124" s="116"/>
    </row>
    <row r="125" spans="2:22" x14ac:dyDescent="0.25">
      <c r="B125" s="86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117"/>
    </row>
    <row r="126" spans="2:22" ht="15.75" thickBot="1" x14ac:dyDescent="0.3">
      <c r="B126" s="65" t="s">
        <v>66</v>
      </c>
      <c r="C126" s="140">
        <f>IF(C127&gt;0,2,0)</f>
        <v>0</v>
      </c>
      <c r="D126" s="140">
        <f t="shared" ref="D126:R126" si="71">IF(D127&gt;0,2,0)</f>
        <v>0</v>
      </c>
      <c r="E126" s="140">
        <f t="shared" si="71"/>
        <v>0</v>
      </c>
      <c r="F126" s="140">
        <f t="shared" si="71"/>
        <v>2</v>
      </c>
      <c r="G126" s="140">
        <f t="shared" si="71"/>
        <v>2</v>
      </c>
      <c r="H126" s="140">
        <f t="shared" si="71"/>
        <v>2</v>
      </c>
      <c r="I126" s="140">
        <f t="shared" si="71"/>
        <v>2</v>
      </c>
      <c r="J126" s="140">
        <f t="shared" si="71"/>
        <v>2</v>
      </c>
      <c r="K126" s="140">
        <f t="shared" si="71"/>
        <v>2</v>
      </c>
      <c r="L126" s="140">
        <f t="shared" si="71"/>
        <v>0</v>
      </c>
      <c r="M126" s="140">
        <f t="shared" si="71"/>
        <v>2</v>
      </c>
      <c r="N126" s="140">
        <f t="shared" si="71"/>
        <v>2</v>
      </c>
      <c r="O126" s="140">
        <f t="shared" si="71"/>
        <v>2</v>
      </c>
      <c r="P126" s="140">
        <f t="shared" si="71"/>
        <v>2</v>
      </c>
      <c r="Q126" s="140">
        <f t="shared" si="71"/>
        <v>2</v>
      </c>
      <c r="R126" s="140">
        <f t="shared" si="71"/>
        <v>0</v>
      </c>
      <c r="S126" s="27"/>
      <c r="T126" s="101" t="s">
        <v>118</v>
      </c>
      <c r="U126" s="139">
        <f>SUM(C126:R126)*15*1.9835</f>
        <v>654.55500000000006</v>
      </c>
      <c r="V126" s="11" t="s">
        <v>124</v>
      </c>
    </row>
    <row r="127" spans="2:22" ht="15.75" thickBot="1" x14ac:dyDescent="0.3">
      <c r="B127" s="72" t="s">
        <v>113</v>
      </c>
      <c r="C127" s="46">
        <v>0</v>
      </c>
      <c r="D127" s="46">
        <v>0</v>
      </c>
      <c r="E127" s="46">
        <v>0</v>
      </c>
      <c r="F127" s="46">
        <v>30</v>
      </c>
      <c r="G127" s="46">
        <v>30</v>
      </c>
      <c r="H127" s="46">
        <v>30</v>
      </c>
      <c r="I127" s="46">
        <v>4</v>
      </c>
      <c r="J127" s="46">
        <v>6</v>
      </c>
      <c r="K127" s="46">
        <v>12</v>
      </c>
      <c r="L127" s="46">
        <v>0</v>
      </c>
      <c r="M127" s="46">
        <v>3</v>
      </c>
      <c r="N127" s="46">
        <v>1</v>
      </c>
      <c r="O127" s="46">
        <v>4</v>
      </c>
      <c r="P127" s="46">
        <v>3</v>
      </c>
      <c r="Q127" s="46">
        <v>1</v>
      </c>
      <c r="R127" s="46">
        <v>0</v>
      </c>
      <c r="S127" s="105"/>
      <c r="T127" s="100" t="str">
        <f>'50% Exceedance Baseline'!T127</f>
        <v>Flow input between Mgt. Pt. 5 and Mgt. Pt. 6</v>
      </c>
    </row>
    <row r="128" spans="2:22" x14ac:dyDescent="0.25">
      <c r="B128" s="79" t="s">
        <v>7</v>
      </c>
      <c r="C128" s="16">
        <f>IF(C142&gt;C141,((C142-C141)*-1),((C141-C142)))</f>
        <v>158.56458739999999</v>
      </c>
      <c r="D128" s="16">
        <f t="shared" ref="D128:E128" si="72">IF(D142&gt;D141,((D142-D141)*-1),((D141-D142)))</f>
        <v>38.865621000000004</v>
      </c>
      <c r="E128" s="16">
        <f t="shared" si="72"/>
        <v>11.087229799999989</v>
      </c>
      <c r="F128" s="16">
        <f>IF(F142&gt;F141,((F142-F141)*-1),((F141-F142)))</f>
        <v>0.90599504907999062</v>
      </c>
      <c r="G128" s="16">
        <f>IF(G142&gt;G141,((G142-G141)*-1),((G141-G142)))</f>
        <v>-11.953285676640007</v>
      </c>
      <c r="H128" s="16">
        <f t="shared" ref="H128:R128" si="73">IF(H142&gt;H141,((H142-H141)*-1),((H141-H142)))</f>
        <v>-3.5495558582000228</v>
      </c>
      <c r="I128" s="16">
        <f t="shared" si="73"/>
        <v>0.18523936047104428</v>
      </c>
      <c r="J128" s="16">
        <f t="shared" si="73"/>
        <v>0.7988124191968069</v>
      </c>
      <c r="K128" s="16">
        <f t="shared" si="73"/>
        <v>-2.2127900611878459</v>
      </c>
      <c r="L128" s="16">
        <f t="shared" si="73"/>
        <v>-11.956156239547894</v>
      </c>
      <c r="M128" s="16">
        <f t="shared" si="73"/>
        <v>1.1129534524570488</v>
      </c>
      <c r="N128" s="16">
        <f t="shared" si="73"/>
        <v>7.1582491001180415E-2</v>
      </c>
      <c r="O128" s="16">
        <f t="shared" si="73"/>
        <v>0.83807865504999768</v>
      </c>
      <c r="P128" s="16">
        <f t="shared" si="73"/>
        <v>0.62191423685199254</v>
      </c>
      <c r="Q128" s="16">
        <f t="shared" si="73"/>
        <v>0.5299980852345243</v>
      </c>
      <c r="R128" s="14">
        <f t="shared" si="73"/>
        <v>19.643966277929792</v>
      </c>
      <c r="S128" s="18"/>
      <c r="T128" s="100" t="str">
        <f>'50% Exceedance Baseline'!T128</f>
        <v>Flow target surplus or deficit after input</v>
      </c>
    </row>
    <row r="129" spans="2:21" ht="15.75" thickBot="1" x14ac:dyDescent="0.3">
      <c r="B129" s="135" t="s">
        <v>115</v>
      </c>
      <c r="C129" s="136">
        <f t="shared" ref="C129:R129" si="74">C127*15*1.9835</f>
        <v>0</v>
      </c>
      <c r="D129" s="136">
        <f t="shared" si="74"/>
        <v>0</v>
      </c>
      <c r="E129" s="136">
        <f t="shared" si="74"/>
        <v>0</v>
      </c>
      <c r="F129" s="136">
        <f t="shared" si="74"/>
        <v>892.57500000000005</v>
      </c>
      <c r="G129" s="136">
        <f>G127*15*1.9835</f>
        <v>892.57500000000005</v>
      </c>
      <c r="H129" s="136">
        <f t="shared" si="74"/>
        <v>892.57500000000005</v>
      </c>
      <c r="I129" s="136">
        <f>I127*15*1.9835</f>
        <v>119.01</v>
      </c>
      <c r="J129" s="136">
        <f t="shared" si="74"/>
        <v>178.51500000000001</v>
      </c>
      <c r="K129" s="136">
        <f t="shared" si="74"/>
        <v>357.03000000000003</v>
      </c>
      <c r="L129" s="136">
        <f t="shared" si="74"/>
        <v>0</v>
      </c>
      <c r="M129" s="136">
        <f t="shared" si="74"/>
        <v>89.257500000000007</v>
      </c>
      <c r="N129" s="136">
        <f t="shared" si="74"/>
        <v>29.752500000000001</v>
      </c>
      <c r="O129" s="136">
        <f t="shared" si="74"/>
        <v>119.01</v>
      </c>
      <c r="P129" s="136">
        <f t="shared" si="74"/>
        <v>89.257500000000007</v>
      </c>
      <c r="Q129" s="136">
        <f t="shared" si="74"/>
        <v>29.752500000000001</v>
      </c>
      <c r="R129" s="137">
        <f t="shared" si="74"/>
        <v>0</v>
      </c>
      <c r="S129" s="136"/>
      <c r="T129" s="101" t="s">
        <v>118</v>
      </c>
      <c r="U129" s="139">
        <f>SUM(C129:R129)</f>
        <v>3689.3100000000013</v>
      </c>
    </row>
    <row r="130" spans="2:21" ht="15.75" thickBot="1" x14ac:dyDescent="0.3">
      <c r="B130" s="73" t="s">
        <v>6</v>
      </c>
      <c r="C130" s="46">
        <v>0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121">
        <v>0</v>
      </c>
      <c r="R130" s="46">
        <v>0</v>
      </c>
      <c r="S130" s="105"/>
      <c r="T130" s="100" t="str">
        <f>'50% Exceedance Baseline'!T130</f>
        <v>Flow input between Mgt. Pt. 5 and Mgt. Pt. 6</v>
      </c>
    </row>
    <row r="131" spans="2:21" x14ac:dyDescent="0.25">
      <c r="B131" s="79" t="s">
        <v>7</v>
      </c>
      <c r="C131" s="16">
        <f>IF(C142&gt;C141,((C142-C141)*-1),((C141-C142)))</f>
        <v>158.56458739999999</v>
      </c>
      <c r="D131" s="16">
        <f t="shared" ref="D131:R131" si="75">IF(D142&gt;D141,((D142-D141)*-1),((D141-D142)))</f>
        <v>38.865621000000004</v>
      </c>
      <c r="E131" s="16">
        <f t="shared" si="75"/>
        <v>11.087229799999989</v>
      </c>
      <c r="F131" s="16">
        <f t="shared" si="75"/>
        <v>0.90599504907999062</v>
      </c>
      <c r="G131" s="16">
        <f t="shared" si="75"/>
        <v>-11.953285676640007</v>
      </c>
      <c r="H131" s="16">
        <f t="shared" si="75"/>
        <v>-3.5495558582000228</v>
      </c>
      <c r="I131" s="16">
        <f t="shared" si="75"/>
        <v>0.18523936047104428</v>
      </c>
      <c r="J131" s="16">
        <f t="shared" si="75"/>
        <v>0.7988124191968069</v>
      </c>
      <c r="K131" s="16">
        <f t="shared" si="75"/>
        <v>-2.2127900611878459</v>
      </c>
      <c r="L131" s="16">
        <f t="shared" si="75"/>
        <v>-11.956156239547894</v>
      </c>
      <c r="M131" s="16">
        <f t="shared" si="75"/>
        <v>1.1129534524570488</v>
      </c>
      <c r="N131" s="16">
        <f t="shared" si="75"/>
        <v>7.1582491001180415E-2</v>
      </c>
      <c r="O131" s="16">
        <f t="shared" si="75"/>
        <v>0.83807865504999768</v>
      </c>
      <c r="P131" s="16">
        <f t="shared" si="75"/>
        <v>0.62191423685199254</v>
      </c>
      <c r="Q131" s="16">
        <f t="shared" si="75"/>
        <v>0.5299980852345243</v>
      </c>
      <c r="R131" s="14">
        <f t="shared" si="75"/>
        <v>19.643966277929792</v>
      </c>
      <c r="S131" s="18"/>
      <c r="T131" s="100" t="str">
        <f>'50% Exceedance Baseline'!T131</f>
        <v>Flow target surplus or deficit after input</v>
      </c>
    </row>
    <row r="132" spans="2:21" s="138" customFormat="1" ht="15.75" thickBot="1" x14ac:dyDescent="0.3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7"/>
      <c r="S132" s="136"/>
      <c r="T132" s="101"/>
      <c r="U132" s="139"/>
    </row>
    <row r="133" spans="2:21" ht="15.75" thickBot="1" x14ac:dyDescent="0.3">
      <c r="B133" s="73" t="s">
        <v>60</v>
      </c>
      <c r="C133" s="46">
        <v>0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121">
        <v>0</v>
      </c>
      <c r="R133" s="46">
        <v>0</v>
      </c>
      <c r="S133" s="105"/>
      <c r="T133" s="100" t="str">
        <f>'50% Exceedance Baseline'!T133</f>
        <v>Flow input between Mgt. Pt. 5 and Mgt. Pt. 6</v>
      </c>
    </row>
    <row r="134" spans="2:21" x14ac:dyDescent="0.25">
      <c r="B134" s="79" t="s">
        <v>7</v>
      </c>
      <c r="C134" s="16">
        <f>IF(C142&gt;C141,((C142-C141)*-1),((C141-C142)))</f>
        <v>158.56458739999999</v>
      </c>
      <c r="D134" s="16">
        <f t="shared" ref="D134:R134" si="76">IF(D142&gt;D141,((D142-D141)*-1),((D141-D142)))</f>
        <v>38.865621000000004</v>
      </c>
      <c r="E134" s="16">
        <f>IF(E142&gt;E141,((E142-E141)*-1),((E141-E142)))</f>
        <v>11.087229799999989</v>
      </c>
      <c r="F134" s="16">
        <f t="shared" si="76"/>
        <v>0.90599504907999062</v>
      </c>
      <c r="G134" s="16">
        <f t="shared" si="76"/>
        <v>-11.953285676640007</v>
      </c>
      <c r="H134" s="16">
        <f t="shared" si="76"/>
        <v>-3.5495558582000228</v>
      </c>
      <c r="I134" s="16">
        <f t="shared" si="76"/>
        <v>0.18523936047104428</v>
      </c>
      <c r="J134" s="16">
        <f t="shared" si="76"/>
        <v>0.7988124191968069</v>
      </c>
      <c r="K134" s="16">
        <f t="shared" si="76"/>
        <v>-2.2127900611878459</v>
      </c>
      <c r="L134" s="16">
        <f t="shared" si="76"/>
        <v>-11.956156239547894</v>
      </c>
      <c r="M134" s="16">
        <f t="shared" si="76"/>
        <v>1.1129534524570488</v>
      </c>
      <c r="N134" s="16">
        <f t="shared" si="76"/>
        <v>7.1582491001180415E-2</v>
      </c>
      <c r="O134" s="16">
        <f t="shared" si="76"/>
        <v>0.83807865504999768</v>
      </c>
      <c r="P134" s="16">
        <f t="shared" si="76"/>
        <v>0.62191423685199254</v>
      </c>
      <c r="Q134" s="16">
        <f t="shared" si="76"/>
        <v>0.5299980852345243</v>
      </c>
      <c r="R134" s="14">
        <f t="shared" si="76"/>
        <v>19.643966277929792</v>
      </c>
      <c r="S134" s="18"/>
      <c r="T134" s="100" t="str">
        <f>'50% Exceedance Baseline'!T134</f>
        <v>Flow target surplus or deficit after input</v>
      </c>
    </row>
    <row r="135" spans="2:21" s="32" customFormat="1" x14ac:dyDescent="0.25">
      <c r="B135" s="81" t="s">
        <v>25</v>
      </c>
      <c r="C135" s="18">
        <f t="shared" ref="C135:F135" si="77">SUM(C127+C130+C133)</f>
        <v>0</v>
      </c>
      <c r="D135" s="18">
        <f t="shared" si="77"/>
        <v>0</v>
      </c>
      <c r="E135" s="18">
        <f t="shared" si="77"/>
        <v>0</v>
      </c>
      <c r="F135" s="18">
        <f t="shared" si="77"/>
        <v>30</v>
      </c>
      <c r="G135" s="18">
        <f>SUM(G127+G130+G133)</f>
        <v>30</v>
      </c>
      <c r="H135" s="18">
        <f t="shared" ref="H135:N135" si="78">SUM(H127+H130+H133)</f>
        <v>30</v>
      </c>
      <c r="I135" s="18">
        <f t="shared" si="78"/>
        <v>4</v>
      </c>
      <c r="J135" s="18">
        <f t="shared" si="78"/>
        <v>6</v>
      </c>
      <c r="K135" s="18">
        <f t="shared" si="78"/>
        <v>12</v>
      </c>
      <c r="L135" s="18">
        <f t="shared" si="78"/>
        <v>0</v>
      </c>
      <c r="M135" s="18">
        <f t="shared" si="78"/>
        <v>3</v>
      </c>
      <c r="N135" s="18">
        <f t="shared" si="78"/>
        <v>1</v>
      </c>
      <c r="O135" s="18">
        <f>SUM(O127+O130+O133)</f>
        <v>4</v>
      </c>
      <c r="P135" s="18">
        <f>SUM(P127+P130+P133)</f>
        <v>3</v>
      </c>
      <c r="Q135" s="18">
        <f>SUM(Q127+Q130+Q133)</f>
        <v>1</v>
      </c>
      <c r="R135" s="17">
        <f>SUM(R127+R130+R133)</f>
        <v>0</v>
      </c>
      <c r="S135" s="18"/>
      <c r="T135" s="100" t="str">
        <f>'50% Exceedance Baseline'!T135</f>
        <v>Subtotal of all inputs in Detour Road to McDonald Road reach</v>
      </c>
      <c r="U135" s="31"/>
    </row>
    <row r="136" spans="2:21" s="26" customFormat="1" ht="15.75" thickBot="1" x14ac:dyDescent="0.3">
      <c r="B136" s="80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7"/>
      <c r="S136" s="18"/>
      <c r="T136" s="100"/>
      <c r="U136" s="25"/>
    </row>
    <row r="137" spans="2:21" s="64" customFormat="1" ht="15.75" thickBot="1" x14ac:dyDescent="0.3">
      <c r="B137" s="70" t="s">
        <v>69</v>
      </c>
      <c r="C137" s="69">
        <f>'50% Exceedance Baseline'!C137</f>
        <v>-2.5999999999999999E-2</v>
      </c>
      <c r="D137" s="69">
        <f>'50% Exceedance Baseline'!D137</f>
        <v>-2.5999999999999999E-2</v>
      </c>
      <c r="E137" s="69">
        <f>'50% Exceedance Baseline'!E137</f>
        <v>-2.5999999999999999E-2</v>
      </c>
      <c r="F137" s="69">
        <f>'50% Exceedance Baseline'!F137</f>
        <v>-2.5999999999999999E-2</v>
      </c>
      <c r="G137" s="69">
        <f>'50% Exceedance Baseline'!G137</f>
        <v>-2.5999999999999999E-2</v>
      </c>
      <c r="H137" s="69">
        <f>'50% Exceedance Baseline'!H137</f>
        <v>-2.5999999999999999E-2</v>
      </c>
      <c r="I137" s="69">
        <f>'50% Exceedance Baseline'!I137</f>
        <v>-2.5999999999999999E-2</v>
      </c>
      <c r="J137" s="69">
        <f>'50% Exceedance Baseline'!J137</f>
        <v>-2.5999999999999999E-2</v>
      </c>
      <c r="K137" s="69">
        <f>'50% Exceedance Baseline'!K137</f>
        <v>-6.9000000000000006E-2</v>
      </c>
      <c r="L137" s="69">
        <f>'50% Exceedance Baseline'!L137</f>
        <v>-6.9000000000000006E-2</v>
      </c>
      <c r="M137" s="69">
        <f>'50% Exceedance Baseline'!M137</f>
        <v>-6.9000000000000006E-2</v>
      </c>
      <c r="N137" s="69">
        <f>'50% Exceedance Baseline'!N137</f>
        <v>-6.9000000000000006E-2</v>
      </c>
      <c r="O137" s="69">
        <f>'50% Exceedance Baseline'!O137</f>
        <v>-6.9000000000000006E-2</v>
      </c>
      <c r="P137" s="69">
        <f>'50% Exceedance Baseline'!P137</f>
        <v>-6.9000000000000006E-2</v>
      </c>
      <c r="Q137" s="69">
        <f>'50% Exceedance Baseline'!Q137</f>
        <v>-6.9000000000000006E-2</v>
      </c>
      <c r="R137" s="69">
        <f>'50% Exceedance Baseline'!R137</f>
        <v>-6.9000000000000006E-2</v>
      </c>
      <c r="S137" s="107"/>
      <c r="T137" s="100" t="str">
        <f>'50% Exceedance Baseline'!T137</f>
        <v>Percentage total inputs lost or gained due to streambed hydrology (2002-2015 WWBWC seepage data); estimated current rates reduced by 10% to reflect assumed seepage reductions from future projects</v>
      </c>
      <c r="U137" s="83"/>
    </row>
    <row r="138" spans="2:21" s="26" customFormat="1" x14ac:dyDescent="0.25">
      <c r="B138" s="84" t="s">
        <v>20</v>
      </c>
      <c r="C138" s="57">
        <f>SUM(C135+C117)*(1+C137)</f>
        <v>0</v>
      </c>
      <c r="D138" s="57">
        <f t="shared" ref="D138:N138" si="79">SUM(D135+D117)*(1+D137)</f>
        <v>0</v>
      </c>
      <c r="E138" s="57">
        <f t="shared" si="79"/>
        <v>0</v>
      </c>
      <c r="F138" s="57">
        <f t="shared" si="79"/>
        <v>91.027473919079981</v>
      </c>
      <c r="G138" s="57">
        <f t="shared" si="79"/>
        <v>130.07707239336</v>
      </c>
      <c r="H138" s="57">
        <f t="shared" si="79"/>
        <v>89.055695929799981</v>
      </c>
      <c r="I138" s="57">
        <f t="shared" si="79"/>
        <v>53.739571320471043</v>
      </c>
      <c r="J138" s="57">
        <f t="shared" si="79"/>
        <v>54.985549189196803</v>
      </c>
      <c r="K138" s="57">
        <f t="shared" si="79"/>
        <v>51.897962848812156</v>
      </c>
      <c r="L138" s="57">
        <f t="shared" si="79"/>
        <v>42.446778180452107</v>
      </c>
      <c r="M138" s="57">
        <f t="shared" si="79"/>
        <v>42.869568482457048</v>
      </c>
      <c r="N138" s="57">
        <f t="shared" si="79"/>
        <v>41.605726221001177</v>
      </c>
      <c r="O138" s="57">
        <f>SUM(O135+O117)*(1+O137)</f>
        <v>47.215705545049993</v>
      </c>
      <c r="P138" s="122">
        <f>SUM(P135+P117)*(1+P137)</f>
        <v>48.024373766851994</v>
      </c>
      <c r="Q138" s="57">
        <f>SUM(Q135+Q117)*(1+Q137)</f>
        <v>35.258664825234519</v>
      </c>
      <c r="R138" s="68">
        <f>SUM(R135+R117)*(1+R137)</f>
        <v>24.390709217929786</v>
      </c>
      <c r="S138" s="110"/>
      <c r="T138" s="100" t="str">
        <f>'50% Exceedance Baseline'!T138</f>
        <v>Total of all upstream input flow adjusted for streambed loss or gain</v>
      </c>
      <c r="U138" s="25"/>
    </row>
    <row r="139" spans="2:21" ht="15.75" thickBot="1" x14ac:dyDescent="0.3">
      <c r="B139" s="71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3"/>
      <c r="S139" s="110"/>
    </row>
    <row r="140" spans="2:21" ht="15.75" thickBot="1" x14ac:dyDescent="0.3">
      <c r="B140" s="42" t="s">
        <v>57</v>
      </c>
      <c r="C140" s="123">
        <f>'50% Exceedance Baseline'!C140</f>
        <v>308.56458739999999</v>
      </c>
      <c r="D140" s="123">
        <f>'50% Exceedance Baseline'!D140</f>
        <v>188.865621</v>
      </c>
      <c r="E140" s="123">
        <f>'50% Exceedance Baseline'!E140</f>
        <v>161.08722979999999</v>
      </c>
      <c r="F140" s="123">
        <f>'50% Exceedance Baseline'!F140</f>
        <v>59.878521130000003</v>
      </c>
      <c r="G140" s="123">
        <f>'50% Exceedance Baseline'!G140</f>
        <v>7.9696419299999999</v>
      </c>
      <c r="H140" s="123">
        <f>'50% Exceedance Baseline'!H140</f>
        <v>7.3947482119999997</v>
      </c>
      <c r="I140" s="123">
        <f>'50% Exceedance Baseline'!I140</f>
        <v>11.445668039999999</v>
      </c>
      <c r="J140" s="123">
        <f>'50% Exceedance Baseline'!J140</f>
        <v>10.81326323</v>
      </c>
      <c r="K140" s="123">
        <f>'50% Exceedance Baseline'!K140</f>
        <v>10.88924709</v>
      </c>
      <c r="L140" s="123">
        <f>'50% Exceedance Baseline'!L140</f>
        <v>10.597065580000001</v>
      </c>
      <c r="M140" s="123">
        <f>'50% Exceedance Baseline'!M140</f>
        <v>23.243384970000001</v>
      </c>
      <c r="N140" s="123">
        <f>'50% Exceedance Baseline'!N140</f>
        <v>23.46585627</v>
      </c>
      <c r="O140" s="123">
        <f>'50% Exceedance Baseline'!O140</f>
        <v>18.622373110000002</v>
      </c>
      <c r="P140" s="123">
        <f>'50% Exceedance Baseline'!P140</f>
        <v>17.597540469999998</v>
      </c>
      <c r="Q140" s="123">
        <f>'50% Exceedance Baseline'!Q140</f>
        <v>30.271333259999999</v>
      </c>
      <c r="R140" s="123">
        <f>'50% Exceedance Baseline'!R140</f>
        <v>60.253257060000003</v>
      </c>
      <c r="S140" s="19"/>
      <c r="T140" s="100" t="str">
        <f>'50% Exceedance Baseline'!T140</f>
        <v>Median flow data at S-119 gage (2013-2016)</v>
      </c>
    </row>
    <row r="141" spans="2:21" x14ac:dyDescent="0.25">
      <c r="B141" s="47" t="s">
        <v>41</v>
      </c>
      <c r="C141" s="48">
        <f>C140+C138</f>
        <v>308.56458739999999</v>
      </c>
      <c r="D141" s="48">
        <f t="shared" ref="D141:E141" si="80">D140+D138</f>
        <v>188.865621</v>
      </c>
      <c r="E141" s="48">
        <f t="shared" si="80"/>
        <v>161.08722979999999</v>
      </c>
      <c r="F141" s="48">
        <f>F140+F138</f>
        <v>150.90599504907999</v>
      </c>
      <c r="G141" s="48">
        <f t="shared" ref="G141:H141" si="81">G140+G138</f>
        <v>138.04671432335999</v>
      </c>
      <c r="H141" s="48">
        <f t="shared" si="81"/>
        <v>96.450444141799977</v>
      </c>
      <c r="I141" s="48">
        <f>I140+I138</f>
        <v>65.185239360471044</v>
      </c>
      <c r="J141" s="48">
        <f t="shared" ref="J141:N141" si="82">J140+J138</f>
        <v>65.798812419196807</v>
      </c>
      <c r="K141" s="48">
        <f t="shared" si="82"/>
        <v>62.787209938812154</v>
      </c>
      <c r="L141" s="48">
        <f t="shared" si="82"/>
        <v>53.043843760452106</v>
      </c>
      <c r="M141" s="48">
        <f t="shared" si="82"/>
        <v>66.112953452457049</v>
      </c>
      <c r="N141" s="48">
        <f t="shared" si="82"/>
        <v>65.07158249100118</v>
      </c>
      <c r="O141" s="48">
        <f>O140+O138</f>
        <v>65.838078655049998</v>
      </c>
      <c r="P141" s="48">
        <f>P140+P138</f>
        <v>65.621914236851993</v>
      </c>
      <c r="Q141" s="48">
        <f>Q140+Q138</f>
        <v>65.529998085234524</v>
      </c>
      <c r="R141" s="49">
        <f>R140+R138</f>
        <v>84.643966277929792</v>
      </c>
      <c r="S141" s="111"/>
      <c r="T141" s="100" t="str">
        <f>'50% Exceedance Baseline'!T141</f>
        <v>Flow gage data plus cumulative inputs adjusted for streambed loss or gain</v>
      </c>
    </row>
    <row r="142" spans="2:21" x14ac:dyDescent="0.25">
      <c r="B142" s="10" t="s">
        <v>8</v>
      </c>
      <c r="C142" s="8">
        <f>$C$16</f>
        <v>150</v>
      </c>
      <c r="D142" s="8">
        <f>$D$16</f>
        <v>150</v>
      </c>
      <c r="E142" s="8">
        <f>$E$16</f>
        <v>150</v>
      </c>
      <c r="F142" s="8">
        <f>$F$16</f>
        <v>150</v>
      </c>
      <c r="G142" s="8">
        <f>$G$16</f>
        <v>150</v>
      </c>
      <c r="H142" s="8">
        <f>$H$16</f>
        <v>100</v>
      </c>
      <c r="I142" s="8">
        <f>$I$16</f>
        <v>65</v>
      </c>
      <c r="J142" s="8">
        <f>$J$16</f>
        <v>65</v>
      </c>
      <c r="K142" s="8">
        <f>$K$16</f>
        <v>65</v>
      </c>
      <c r="L142" s="8">
        <f>$L$16</f>
        <v>65</v>
      </c>
      <c r="M142" s="8">
        <f>$M$16</f>
        <v>65</v>
      </c>
      <c r="N142" s="8">
        <f>$N$16</f>
        <v>65</v>
      </c>
      <c r="O142" s="8">
        <f>$O$16</f>
        <v>65</v>
      </c>
      <c r="P142" s="8">
        <f>$P$16</f>
        <v>65</v>
      </c>
      <c r="Q142" s="8">
        <f>$Q$16</f>
        <v>65</v>
      </c>
      <c r="R142" s="9">
        <f>$R$16</f>
        <v>65</v>
      </c>
      <c r="S142" s="112"/>
      <c r="T142" s="100" t="str">
        <f>'50% Exceedance Baseline'!T142</f>
        <v>Target flows</v>
      </c>
    </row>
    <row r="143" spans="2:21" ht="15.75" thickBot="1" x14ac:dyDescent="0.3">
      <c r="B143" s="37" t="s">
        <v>15</v>
      </c>
      <c r="C143" s="38">
        <f>IF(C141&gt;C142,0,(C142-C141)*-1)</f>
        <v>0</v>
      </c>
      <c r="D143" s="38">
        <f t="shared" ref="D143:E143" si="83">IF(D141&gt;D142,0,(D142-D141)*-1)</f>
        <v>0</v>
      </c>
      <c r="E143" s="38">
        <f t="shared" si="83"/>
        <v>0</v>
      </c>
      <c r="F143" s="38">
        <f>IF(F141&gt;F142,0,(F142-F141)*-1)</f>
        <v>0</v>
      </c>
      <c r="G143" s="38">
        <f t="shared" ref="G143" si="84">IF(G141&gt;G142,0,(G142-G141)*-1)</f>
        <v>-11.953285676640007</v>
      </c>
      <c r="H143" s="38">
        <f>IF(H141&gt;H142,0,(H142-H141)*-1)</f>
        <v>-3.5495558582000228</v>
      </c>
      <c r="I143" s="38">
        <f t="shared" ref="I143:N143" si="85">IF(I141&gt;I142,0,(I142-I141)*-1)</f>
        <v>0</v>
      </c>
      <c r="J143" s="38">
        <f t="shared" si="85"/>
        <v>0</v>
      </c>
      <c r="K143" s="38">
        <f t="shared" si="85"/>
        <v>-2.2127900611878459</v>
      </c>
      <c r="L143" s="38">
        <f t="shared" si="85"/>
        <v>-11.956156239547894</v>
      </c>
      <c r="M143" s="38">
        <f t="shared" si="85"/>
        <v>0</v>
      </c>
      <c r="N143" s="38">
        <f t="shared" si="85"/>
        <v>0</v>
      </c>
      <c r="O143" s="38">
        <f>IF(O141&gt;O142,0,(O142-O141)*-1)</f>
        <v>0</v>
      </c>
      <c r="P143" s="38">
        <f>IF(P141&gt;P142,0,(P142-P141)*-1)</f>
        <v>0</v>
      </c>
      <c r="Q143" s="38">
        <f>IF(Q141&gt;Q142,0,(Q142-Q141)*-1)</f>
        <v>0</v>
      </c>
      <c r="R143" s="39">
        <f>IF(R141&gt;R142,0,(R142-R141)*-1)</f>
        <v>0</v>
      </c>
      <c r="S143" s="105"/>
      <c r="T143" s="100" t="str">
        <f>'50% Exceedance Baseline'!T143</f>
        <v>Deficit between target flows and flow gage data plus total adjusted inputs</v>
      </c>
    </row>
    <row r="144" spans="2:21" x14ac:dyDescent="0.25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18"/>
    </row>
    <row r="145" spans="2:21" x14ac:dyDescent="0.25">
      <c r="B145" s="35" t="s">
        <v>2</v>
      </c>
      <c r="C145" s="36">
        <f>'50% Exceedance Baseline'!C145</f>
        <v>30</v>
      </c>
      <c r="D145" s="36">
        <f>'50% Exceedance Baseline'!D145</f>
        <v>30</v>
      </c>
      <c r="E145" s="36">
        <f>'50% Exceedance Baseline'!E145</f>
        <v>20</v>
      </c>
      <c r="F145" s="36">
        <f>'50% Exceedance Baseline'!F145</f>
        <v>20</v>
      </c>
      <c r="G145" s="36">
        <f>'50% Exceedance Baseline'!G145</f>
        <v>1</v>
      </c>
      <c r="H145" s="36">
        <f>'50% Exceedance Baseline'!H145</f>
        <v>1</v>
      </c>
      <c r="I145" s="36">
        <f>'50% Exceedance Baseline'!I145</f>
        <v>1</v>
      </c>
      <c r="J145" s="36">
        <f>'50% Exceedance Baseline'!J145</f>
        <v>1</v>
      </c>
      <c r="K145" s="36">
        <f>'50% Exceedance Baseline'!K145</f>
        <v>1</v>
      </c>
      <c r="L145" s="36">
        <f>'50% Exceedance Baseline'!L145</f>
        <v>1</v>
      </c>
      <c r="M145" s="36">
        <f>'50% Exceedance Baseline'!M145</f>
        <v>1</v>
      </c>
      <c r="N145" s="36">
        <f>'50% Exceedance Baseline'!N145</f>
        <v>1</v>
      </c>
      <c r="O145" s="36">
        <f>'50% Exceedance Baseline'!O145</f>
        <v>1</v>
      </c>
      <c r="P145" s="36">
        <f>'50% Exceedance Baseline'!P145</f>
        <v>1</v>
      </c>
      <c r="Q145" s="36">
        <f>'50% Exceedance Baseline'!Q145</f>
        <v>3</v>
      </c>
      <c r="R145" s="36">
        <f>'50% Exceedance Baseline'!R145</f>
        <v>3</v>
      </c>
      <c r="S145" s="66"/>
      <c r="T145" s="100" t="str">
        <f>'50% Exceedance Baseline'!T145</f>
        <v>Estimate</v>
      </c>
    </row>
    <row r="146" spans="2:21" s="12" customFormat="1" x14ac:dyDescent="0.25">
      <c r="B146" s="62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100"/>
      <c r="U146" s="13"/>
    </row>
    <row r="147" spans="2:21" ht="15.75" thickBot="1" x14ac:dyDescent="0.3">
      <c r="B147" s="4" t="s">
        <v>67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18"/>
    </row>
    <row r="148" spans="2:21" ht="15.75" thickBot="1" x14ac:dyDescent="0.3">
      <c r="B148" s="72" t="s">
        <v>5</v>
      </c>
      <c r="C148" s="46">
        <v>0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121">
        <v>0</v>
      </c>
      <c r="R148" s="46">
        <v>0</v>
      </c>
      <c r="S148" s="105"/>
      <c r="T148" s="100" t="str">
        <f>'50% Exceedance Baseline'!T148</f>
        <v>Flow input between Mgt. Pt. 6 and Mgt. Pt. 7</v>
      </c>
    </row>
    <row r="149" spans="2:21" x14ac:dyDescent="0.25">
      <c r="B149" s="79" t="s">
        <v>7</v>
      </c>
      <c r="C149" s="16">
        <f>IF(C163&gt;C162,((C163-C162)*-1),((C162-C163)))</f>
        <v>880</v>
      </c>
      <c r="D149" s="16">
        <f t="shared" ref="D149:E149" si="86">IF(D163&gt;D162,((D163-D162)*-1),((D162-D163)))</f>
        <v>731.5</v>
      </c>
      <c r="E149" s="16">
        <f t="shared" si="86"/>
        <v>614</v>
      </c>
      <c r="F149" s="16">
        <f>IF(F163&gt;F162,((F163-F162)*-1),((F162-F163)))</f>
        <v>504.02747391907997</v>
      </c>
      <c r="G149" s="16">
        <f>IF(G163&gt;G162,((G163-G162)*-1),((G162-G163)))</f>
        <v>256.57707239336003</v>
      </c>
      <c r="H149" s="16">
        <f t="shared" ref="H149:R149" si="87">IF(H163&gt;H162,((H163-H162)*-1),((H162-H163)))</f>
        <v>96.055695929799981</v>
      </c>
      <c r="I149" s="16">
        <f t="shared" si="87"/>
        <v>37.739571320471043</v>
      </c>
      <c r="J149" s="16">
        <f t="shared" si="87"/>
        <v>11.985549189196803</v>
      </c>
      <c r="K149" s="16">
        <f t="shared" si="87"/>
        <v>1.8979628488121563</v>
      </c>
      <c r="L149" s="16">
        <f t="shared" si="87"/>
        <v>-8.5532218195478933</v>
      </c>
      <c r="M149" s="16">
        <f t="shared" si="87"/>
        <v>0.86956848245705487</v>
      </c>
      <c r="N149" s="16">
        <f t="shared" si="87"/>
        <v>16.605726221001177</v>
      </c>
      <c r="O149" s="16">
        <f t="shared" si="87"/>
        <v>30.215705545049985</v>
      </c>
      <c r="P149" s="16">
        <f t="shared" si="87"/>
        <v>44.024373766851994</v>
      </c>
      <c r="Q149" s="16">
        <f t="shared" si="87"/>
        <v>80.258664825234519</v>
      </c>
      <c r="R149" s="14">
        <f t="shared" si="87"/>
        <v>203.39070921792978</v>
      </c>
      <c r="S149" s="18"/>
      <c r="T149" s="100" t="str">
        <f>'50% Exceedance Baseline'!T149</f>
        <v>Flow target surplus or deficit after input</v>
      </c>
    </row>
    <row r="150" spans="2:21" ht="15.75" thickBot="1" x14ac:dyDescent="0.3">
      <c r="B150" s="80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7"/>
      <c r="S150" s="18"/>
    </row>
    <row r="151" spans="2:21" ht="15.75" thickBot="1" x14ac:dyDescent="0.3">
      <c r="B151" s="73" t="s">
        <v>6</v>
      </c>
      <c r="C151" s="46">
        <v>0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121">
        <v>0</v>
      </c>
      <c r="R151" s="46">
        <v>0</v>
      </c>
      <c r="S151" s="105"/>
      <c r="T151" s="100" t="str">
        <f>'50% Exceedance Baseline'!T151</f>
        <v>Flow input between Mgt. Pt. 6 and Mgt. Pt. 7</v>
      </c>
    </row>
    <row r="152" spans="2:21" x14ac:dyDescent="0.25">
      <c r="B152" s="79" t="s">
        <v>7</v>
      </c>
      <c r="C152" s="16">
        <f>IF(C163&gt;C162,((C163-C162)*-1),((C162-C163)))</f>
        <v>880</v>
      </c>
      <c r="D152" s="16">
        <f t="shared" ref="D152:R152" si="88">IF(D163&gt;D162,((D163-D162)*-1),((D162-D163)))</f>
        <v>731.5</v>
      </c>
      <c r="E152" s="16">
        <f t="shared" si="88"/>
        <v>614</v>
      </c>
      <c r="F152" s="16">
        <f t="shared" si="88"/>
        <v>504.02747391907997</v>
      </c>
      <c r="G152" s="16">
        <f t="shared" si="88"/>
        <v>256.57707239336003</v>
      </c>
      <c r="H152" s="16">
        <f t="shared" si="88"/>
        <v>96.055695929799981</v>
      </c>
      <c r="I152" s="16">
        <f t="shared" si="88"/>
        <v>37.739571320471043</v>
      </c>
      <c r="J152" s="16">
        <f t="shared" si="88"/>
        <v>11.985549189196803</v>
      </c>
      <c r="K152" s="16">
        <f t="shared" si="88"/>
        <v>1.8979628488121563</v>
      </c>
      <c r="L152" s="16">
        <f t="shared" si="88"/>
        <v>-8.5532218195478933</v>
      </c>
      <c r="M152" s="16">
        <f t="shared" si="88"/>
        <v>0.86956848245705487</v>
      </c>
      <c r="N152" s="16">
        <f t="shared" si="88"/>
        <v>16.605726221001177</v>
      </c>
      <c r="O152" s="16">
        <f t="shared" si="88"/>
        <v>30.215705545049985</v>
      </c>
      <c r="P152" s="16">
        <f t="shared" si="88"/>
        <v>44.024373766851994</v>
      </c>
      <c r="Q152" s="16">
        <f t="shared" si="88"/>
        <v>80.258664825234519</v>
      </c>
      <c r="R152" s="14">
        <f t="shared" si="88"/>
        <v>203.39070921792978</v>
      </c>
      <c r="S152" s="18"/>
      <c r="T152" s="100" t="str">
        <f>'50% Exceedance Baseline'!T152</f>
        <v>Flow target surplus or deficit after input</v>
      </c>
    </row>
    <row r="153" spans="2:21" s="4" customFormat="1" ht="15.75" thickBot="1" x14ac:dyDescent="0.3">
      <c r="B153" s="80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7"/>
      <c r="S153" s="18"/>
      <c r="T153" s="100"/>
      <c r="U153" s="155"/>
    </row>
    <row r="154" spans="2:21" ht="15.75" thickBot="1" x14ac:dyDescent="0.3">
      <c r="B154" s="73" t="s">
        <v>60</v>
      </c>
      <c r="C154" s="46">
        <v>0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121">
        <v>0</v>
      </c>
      <c r="R154" s="46">
        <v>0</v>
      </c>
      <c r="S154" s="105"/>
      <c r="T154" s="100" t="str">
        <f>'50% Exceedance Baseline'!T154</f>
        <v>Flow input between Mgt. Pt. 6 and Mgt. Pt. 7</v>
      </c>
    </row>
    <row r="155" spans="2:21" x14ac:dyDescent="0.25">
      <c r="B155" s="79" t="s">
        <v>7</v>
      </c>
      <c r="C155" s="16">
        <f>IF(C163&gt;C162,((C163-C162)*-1),((C162-C163)))</f>
        <v>880</v>
      </c>
      <c r="D155" s="16">
        <f t="shared" ref="D155" si="89">IF(D163&gt;D162,((D163-D162)*-1),((D162-D163)))</f>
        <v>731.5</v>
      </c>
      <c r="E155" s="16">
        <f>IF(E163&gt;E162,((E163-E162)*-1),((E162-E163)))</f>
        <v>614</v>
      </c>
      <c r="F155" s="16">
        <f t="shared" ref="F155:R155" si="90">IF(F163&gt;F162,((F163-F162)*-1),((F162-F163)))</f>
        <v>504.02747391907997</v>
      </c>
      <c r="G155" s="16">
        <f t="shared" si="90"/>
        <v>256.57707239336003</v>
      </c>
      <c r="H155" s="16">
        <f t="shared" si="90"/>
        <v>96.055695929799981</v>
      </c>
      <c r="I155" s="16">
        <f t="shared" si="90"/>
        <v>37.739571320471043</v>
      </c>
      <c r="J155" s="16">
        <f t="shared" si="90"/>
        <v>11.985549189196803</v>
      </c>
      <c r="K155" s="16">
        <f t="shared" si="90"/>
        <v>1.8979628488121563</v>
      </c>
      <c r="L155" s="16">
        <f t="shared" si="90"/>
        <v>-8.5532218195478933</v>
      </c>
      <c r="M155" s="16">
        <f t="shared" si="90"/>
        <v>0.86956848245705487</v>
      </c>
      <c r="N155" s="16">
        <f t="shared" si="90"/>
        <v>16.605726221001177</v>
      </c>
      <c r="O155" s="16">
        <f t="shared" si="90"/>
        <v>30.215705545049985</v>
      </c>
      <c r="P155" s="16">
        <f t="shared" si="90"/>
        <v>44.024373766851994</v>
      </c>
      <c r="Q155" s="16">
        <f t="shared" si="90"/>
        <v>80.258664825234519</v>
      </c>
      <c r="R155" s="14">
        <f t="shared" si="90"/>
        <v>203.39070921792978</v>
      </c>
      <c r="S155" s="18"/>
      <c r="T155" s="100" t="str">
        <f>'50% Exceedance Baseline'!T155</f>
        <v>Flow target surplus or deficit after input</v>
      </c>
    </row>
    <row r="156" spans="2:21" s="4" customFormat="1" x14ac:dyDescent="0.25">
      <c r="B156" s="81" t="s">
        <v>26</v>
      </c>
      <c r="C156" s="18">
        <f t="shared" ref="C156:F156" si="91">SUM(C148+C151+C154)</f>
        <v>0</v>
      </c>
      <c r="D156" s="18">
        <f t="shared" si="91"/>
        <v>0</v>
      </c>
      <c r="E156" s="18">
        <f t="shared" si="91"/>
        <v>0</v>
      </c>
      <c r="F156" s="18">
        <f t="shared" si="91"/>
        <v>0</v>
      </c>
      <c r="G156" s="18">
        <f>SUM(G148+G151+G154)</f>
        <v>0</v>
      </c>
      <c r="H156" s="18">
        <f t="shared" ref="H156:N156" si="92">SUM(H148+H151+H154)</f>
        <v>0</v>
      </c>
      <c r="I156" s="18">
        <f t="shared" si="92"/>
        <v>0</v>
      </c>
      <c r="J156" s="18">
        <f t="shared" si="92"/>
        <v>0</v>
      </c>
      <c r="K156" s="18">
        <f t="shared" si="92"/>
        <v>0</v>
      </c>
      <c r="L156" s="18">
        <f t="shared" si="92"/>
        <v>0</v>
      </c>
      <c r="M156" s="18">
        <f t="shared" si="92"/>
        <v>0</v>
      </c>
      <c r="N156" s="18">
        <f t="shared" si="92"/>
        <v>0</v>
      </c>
      <c r="O156" s="18">
        <f>SUM(O148+O151+O154)</f>
        <v>0</v>
      </c>
      <c r="P156" s="18">
        <f>SUM(P148+P151+P154)</f>
        <v>0</v>
      </c>
      <c r="Q156" s="18">
        <f>SUM(Q148+Q151+Q154)</f>
        <v>0</v>
      </c>
      <c r="R156" s="17">
        <f>SUM(R148+R151+R154)</f>
        <v>0</v>
      </c>
      <c r="S156" s="18"/>
      <c r="T156" s="100" t="str">
        <f>'50% Exceedance Baseline'!T156</f>
        <v>Subtotal of all inputs in McDonald Road to Touchet Confluence reach</v>
      </c>
      <c r="U156" s="155"/>
    </row>
    <row r="157" spans="2:21" s="26" customFormat="1" ht="15.75" thickBot="1" x14ac:dyDescent="0.3">
      <c r="B157" s="80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7"/>
      <c r="S157" s="18"/>
      <c r="T157" s="100"/>
      <c r="U157" s="25"/>
    </row>
    <row r="158" spans="2:21" s="64" customFormat="1" ht="15.75" thickBot="1" x14ac:dyDescent="0.3">
      <c r="B158" s="70" t="s">
        <v>69</v>
      </c>
      <c r="C158" s="82">
        <f>'50% Exceedance Baseline'!C158</f>
        <v>0</v>
      </c>
      <c r="D158" s="82">
        <f>'50% Exceedance Baseline'!D158</f>
        <v>0</v>
      </c>
      <c r="E158" s="82">
        <f>'50% Exceedance Baseline'!E158</f>
        <v>0</v>
      </c>
      <c r="F158" s="82">
        <f>'50% Exceedance Baseline'!F158</f>
        <v>0</v>
      </c>
      <c r="G158" s="82">
        <f>'50% Exceedance Baseline'!G158</f>
        <v>0</v>
      </c>
      <c r="H158" s="82">
        <f>'50% Exceedance Baseline'!H158</f>
        <v>0</v>
      </c>
      <c r="I158" s="82">
        <f>'50% Exceedance Baseline'!I158</f>
        <v>0</v>
      </c>
      <c r="J158" s="82">
        <f>'50% Exceedance Baseline'!J158</f>
        <v>0</v>
      </c>
      <c r="K158" s="82">
        <f>'50% Exceedance Baseline'!K158</f>
        <v>0</v>
      </c>
      <c r="L158" s="82">
        <f>'50% Exceedance Baseline'!L158</f>
        <v>0</v>
      </c>
      <c r="M158" s="82">
        <f>'50% Exceedance Baseline'!M158</f>
        <v>0</v>
      </c>
      <c r="N158" s="82">
        <f>'50% Exceedance Baseline'!N158</f>
        <v>0</v>
      </c>
      <c r="O158" s="82">
        <f>'50% Exceedance Baseline'!O158</f>
        <v>0</v>
      </c>
      <c r="P158" s="82">
        <f>'50% Exceedance Baseline'!P158</f>
        <v>0</v>
      </c>
      <c r="Q158" s="82">
        <f>'50% Exceedance Baseline'!Q158</f>
        <v>0</v>
      </c>
      <c r="R158" s="82">
        <f>'50% Exceedance Baseline'!R158</f>
        <v>0</v>
      </c>
      <c r="S158" s="106"/>
      <c r="T158" s="100" t="str">
        <f>'50% Exceedance Baseline'!T158</f>
        <v>Gaining reach, but limited data available; assumed 0% seepage as conservative estimate</v>
      </c>
      <c r="U158" s="83"/>
    </row>
    <row r="159" spans="2:21" x14ac:dyDescent="0.25">
      <c r="B159" s="84" t="s">
        <v>20</v>
      </c>
      <c r="C159" s="57">
        <f>SUM(C156+C138)*(1+C158)</f>
        <v>0</v>
      </c>
      <c r="D159" s="57">
        <f t="shared" ref="D159:N159" si="93">SUM(D156+D138)*(1+D158)</f>
        <v>0</v>
      </c>
      <c r="E159" s="57">
        <f t="shared" si="93"/>
        <v>0</v>
      </c>
      <c r="F159" s="57">
        <f t="shared" si="93"/>
        <v>91.027473919079981</v>
      </c>
      <c r="G159" s="57">
        <f t="shared" si="93"/>
        <v>130.07707239336</v>
      </c>
      <c r="H159" s="57">
        <f t="shared" si="93"/>
        <v>89.055695929799981</v>
      </c>
      <c r="I159" s="57">
        <f t="shared" si="93"/>
        <v>53.739571320471043</v>
      </c>
      <c r="J159" s="57">
        <f t="shared" si="93"/>
        <v>54.985549189196803</v>
      </c>
      <c r="K159" s="57">
        <f t="shared" si="93"/>
        <v>51.897962848812156</v>
      </c>
      <c r="L159" s="57">
        <f t="shared" si="93"/>
        <v>42.446778180452107</v>
      </c>
      <c r="M159" s="57">
        <f t="shared" si="93"/>
        <v>42.869568482457048</v>
      </c>
      <c r="N159" s="57">
        <f t="shared" si="93"/>
        <v>41.605726221001177</v>
      </c>
      <c r="O159" s="57">
        <f>SUM(O156+O138)*(1+O158)</f>
        <v>47.215705545049993</v>
      </c>
      <c r="P159" s="122">
        <f>SUM(P156+P138)*(1+P158)</f>
        <v>48.024373766851994</v>
      </c>
      <c r="Q159" s="57">
        <f>SUM(Q156+Q138)*(1+Q158)</f>
        <v>35.258664825234519</v>
      </c>
      <c r="R159" s="68">
        <f>SUM(R156+R138)*(1+R158)</f>
        <v>24.390709217929786</v>
      </c>
      <c r="S159" s="110"/>
      <c r="T159" s="100" t="str">
        <f>'50% Exceedance Baseline'!T159</f>
        <v>Total of all upstream input flow adjusted for streambed loss or gain</v>
      </c>
    </row>
    <row r="160" spans="2:21" ht="15.75" thickBot="1" x14ac:dyDescent="0.3">
      <c r="B160" s="71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3"/>
      <c r="S160" s="110"/>
    </row>
    <row r="161" spans="2:20" ht="15.75" thickBot="1" x14ac:dyDescent="0.3">
      <c r="B161" s="24" t="s">
        <v>58</v>
      </c>
      <c r="C161" s="123">
        <f>'50% Exceedance Baseline'!C161</f>
        <v>1030</v>
      </c>
      <c r="D161" s="123">
        <f>'50% Exceedance Baseline'!D161</f>
        <v>881.5</v>
      </c>
      <c r="E161" s="123">
        <f>'50% Exceedance Baseline'!E161</f>
        <v>764</v>
      </c>
      <c r="F161" s="123">
        <f>'50% Exceedance Baseline'!F161</f>
        <v>563</v>
      </c>
      <c r="G161" s="123">
        <f>'50% Exceedance Baseline'!G161</f>
        <v>276.5</v>
      </c>
      <c r="H161" s="123">
        <f>'50% Exceedance Baseline'!H161</f>
        <v>107</v>
      </c>
      <c r="I161" s="123">
        <f>'50% Exceedance Baseline'!I161</f>
        <v>49</v>
      </c>
      <c r="J161" s="123">
        <f>'50% Exceedance Baseline'!J161</f>
        <v>22</v>
      </c>
      <c r="K161" s="123">
        <f>'50% Exceedance Baseline'!K161</f>
        <v>15</v>
      </c>
      <c r="L161" s="123">
        <f>'50% Exceedance Baseline'!L161</f>
        <v>14</v>
      </c>
      <c r="M161" s="123">
        <f>'50% Exceedance Baseline'!M161</f>
        <v>23</v>
      </c>
      <c r="N161" s="123">
        <f>'50% Exceedance Baseline'!N161</f>
        <v>40</v>
      </c>
      <c r="O161" s="123">
        <f>'50% Exceedance Baseline'!O161</f>
        <v>48</v>
      </c>
      <c r="P161" s="123">
        <f>'50% Exceedance Baseline'!P161</f>
        <v>61</v>
      </c>
      <c r="Q161" s="123">
        <f>'50% Exceedance Baseline'!Q161</f>
        <v>110</v>
      </c>
      <c r="R161" s="123">
        <f>'50% Exceedance Baseline'!R161</f>
        <v>244</v>
      </c>
      <c r="S161" s="27"/>
      <c r="T161" s="100" t="str">
        <f>'50% Exceedance Baseline'!T161</f>
        <v>Median flow data at S-111 gage (1951-2016)</v>
      </c>
    </row>
    <row r="162" spans="2:20" x14ac:dyDescent="0.25">
      <c r="B162" s="47" t="s">
        <v>51</v>
      </c>
      <c r="C162" s="48">
        <f>C161+C159</f>
        <v>1030</v>
      </c>
      <c r="D162" s="48">
        <f t="shared" ref="D162:E162" si="94">D161+D159</f>
        <v>881.5</v>
      </c>
      <c r="E162" s="48">
        <f t="shared" si="94"/>
        <v>764</v>
      </c>
      <c r="F162" s="48">
        <f>F161+F159</f>
        <v>654.02747391907997</v>
      </c>
      <c r="G162" s="48">
        <f t="shared" ref="G162:H162" si="95">G161+G159</f>
        <v>406.57707239336003</v>
      </c>
      <c r="H162" s="48">
        <f t="shared" si="95"/>
        <v>196.05569592979998</v>
      </c>
      <c r="I162" s="48">
        <f>I161+I159</f>
        <v>102.73957132047104</v>
      </c>
      <c r="J162" s="48">
        <f t="shared" ref="J162:N162" si="96">J161+J159</f>
        <v>76.985549189196803</v>
      </c>
      <c r="K162" s="48">
        <f t="shared" si="96"/>
        <v>66.897962848812156</v>
      </c>
      <c r="L162" s="48">
        <f t="shared" si="96"/>
        <v>56.446778180452107</v>
      </c>
      <c r="M162" s="48">
        <f t="shared" si="96"/>
        <v>65.869568482457055</v>
      </c>
      <c r="N162" s="48">
        <f t="shared" si="96"/>
        <v>81.605726221001177</v>
      </c>
      <c r="O162" s="48">
        <f>O161+O159</f>
        <v>95.215705545049985</v>
      </c>
      <c r="P162" s="48">
        <f>P161+P159</f>
        <v>109.02437376685199</v>
      </c>
      <c r="Q162" s="48">
        <f>Q161+Q159</f>
        <v>145.25866482523452</v>
      </c>
      <c r="R162" s="49">
        <f>R161+R159</f>
        <v>268.39070921792978</v>
      </c>
      <c r="S162" s="111"/>
      <c r="T162" s="100" t="str">
        <f>'50% Exceedance Baseline'!T162</f>
        <v>Flow gage data plus cumulative inputs adjusted for streambed loss or gain</v>
      </c>
    </row>
    <row r="163" spans="2:20" x14ac:dyDescent="0.25">
      <c r="B163" s="10" t="s">
        <v>8</v>
      </c>
      <c r="C163" s="8">
        <f>$C$16</f>
        <v>150</v>
      </c>
      <c r="D163" s="8">
        <f>$D$16</f>
        <v>150</v>
      </c>
      <c r="E163" s="8">
        <f>$E$16</f>
        <v>150</v>
      </c>
      <c r="F163" s="8">
        <f>$F$16</f>
        <v>150</v>
      </c>
      <c r="G163" s="8">
        <f>$G$16</f>
        <v>150</v>
      </c>
      <c r="H163" s="8">
        <f>$H$16</f>
        <v>100</v>
      </c>
      <c r="I163" s="8">
        <f>$I$16</f>
        <v>65</v>
      </c>
      <c r="J163" s="8">
        <f>$J$16</f>
        <v>65</v>
      </c>
      <c r="K163" s="8">
        <f>$K$16</f>
        <v>65</v>
      </c>
      <c r="L163" s="8">
        <f>$L$16</f>
        <v>65</v>
      </c>
      <c r="M163" s="8">
        <f>$M$16</f>
        <v>65</v>
      </c>
      <c r="N163" s="8">
        <f>$N$16</f>
        <v>65</v>
      </c>
      <c r="O163" s="8">
        <f>$O$16</f>
        <v>65</v>
      </c>
      <c r="P163" s="8">
        <f>$P$16</f>
        <v>65</v>
      </c>
      <c r="Q163" s="8">
        <f>$Q$16</f>
        <v>65</v>
      </c>
      <c r="R163" s="9">
        <f>$R$16</f>
        <v>65</v>
      </c>
      <c r="S163" s="112"/>
      <c r="T163" s="100" t="str">
        <f>'50% Exceedance Baseline'!T163</f>
        <v>Target flows</v>
      </c>
    </row>
    <row r="164" spans="2:20" ht="15.75" thickBot="1" x14ac:dyDescent="0.3">
      <c r="B164" s="37" t="s">
        <v>16</v>
      </c>
      <c r="C164" s="38">
        <f>IF(C162&gt;C163,0,(C163-C162)*-1)</f>
        <v>0</v>
      </c>
      <c r="D164" s="38">
        <f t="shared" ref="D164:E164" si="97">IF(D162&gt;D163,0,(D163-D162)*-1)</f>
        <v>0</v>
      </c>
      <c r="E164" s="38">
        <f t="shared" si="97"/>
        <v>0</v>
      </c>
      <c r="F164" s="38">
        <f>IF(F162&gt;F163,0,(F163-F162)*-1)</f>
        <v>0</v>
      </c>
      <c r="G164" s="38">
        <f t="shared" ref="G164" si="98">IF(G162&gt;G163,0,(G163-G162)*-1)</f>
        <v>0</v>
      </c>
      <c r="H164" s="38">
        <f>IF(H162&gt;H163,0,(H163-H162)*-1)</f>
        <v>0</v>
      </c>
      <c r="I164" s="38">
        <f t="shared" ref="I164:N164" si="99">IF(I162&gt;I163,0,(I163-I162)*-1)</f>
        <v>0</v>
      </c>
      <c r="J164" s="38">
        <f t="shared" si="99"/>
        <v>0</v>
      </c>
      <c r="K164" s="38">
        <f>IF(K162&gt;K163,0,(K163-K162)*-1)</f>
        <v>0</v>
      </c>
      <c r="L164" s="38">
        <f>IF(L162&gt;L163,0,(L163-L162)*-1)</f>
        <v>-8.5532218195478933</v>
      </c>
      <c r="M164" s="38">
        <f t="shared" si="99"/>
        <v>0</v>
      </c>
      <c r="N164" s="38">
        <f t="shared" si="99"/>
        <v>0</v>
      </c>
      <c r="O164" s="38">
        <f>IF(O162&gt;O163,0,(O163-O162)*-1)</f>
        <v>0</v>
      </c>
      <c r="P164" s="38">
        <f>IF(P162&gt;P163,0,(P163-P162)*-1)</f>
        <v>0</v>
      </c>
      <c r="Q164" s="38">
        <f>IF(Q162&gt;Q163,0,(Q163-Q162)*-1)</f>
        <v>0</v>
      </c>
      <c r="R164" s="39">
        <f>IF(R162&gt;R163,0,(R163-R162)*-1)</f>
        <v>0</v>
      </c>
      <c r="S164" s="105"/>
      <c r="T164" s="100" t="str">
        <f>'50% Exceedance Baseline'!T164</f>
        <v>Deficit between target flows and flow gage data plus total adjusted inputs</v>
      </c>
    </row>
    <row r="165" spans="2:20" x14ac:dyDescent="0.25">
      <c r="B165" s="40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105"/>
    </row>
    <row r="166" spans="2:20" ht="15.75" thickBot="1" x14ac:dyDescent="0.3">
      <c r="B166" s="67" t="s">
        <v>62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18"/>
    </row>
    <row r="167" spans="2:20" ht="15.75" thickBot="1" x14ac:dyDescent="0.3">
      <c r="B167" s="94" t="s">
        <v>5</v>
      </c>
      <c r="C167" s="46">
        <v>0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121">
        <v>0</v>
      </c>
      <c r="R167" s="46">
        <v>0</v>
      </c>
      <c r="S167" s="105"/>
      <c r="T167" s="100" t="str">
        <f>'50% Exceedance Baseline'!T167</f>
        <v>Flow input between Mgt. Pt. 7 and Mgt. Pt. 8</v>
      </c>
    </row>
    <row r="168" spans="2:20" x14ac:dyDescent="0.25">
      <c r="B168" s="95" t="s">
        <v>7</v>
      </c>
      <c r="C168" s="16">
        <f>IF(C182&gt;C181,((C182-C181)*-1),((C181-C182)))</f>
        <v>667.29318639999997</v>
      </c>
      <c r="D168" s="16">
        <f t="shared" ref="D168:E168" si="100">IF(D182&gt;D181,((D182-D181)*-1),((D181-D182)))</f>
        <v>303.71796180000001</v>
      </c>
      <c r="E168" s="16">
        <f t="shared" si="100"/>
        <v>161.46826600000003</v>
      </c>
      <c r="F168" s="16">
        <f>IF(F182&gt;F181,((F182-F181)*-1),((F181-F182)))</f>
        <v>99.32286803512514</v>
      </c>
      <c r="G168" s="16">
        <f>IF(G182&gt;G181,((G182-G181)*-1),((G181-G182)))</f>
        <v>17.707639639640718</v>
      </c>
      <c r="H168" s="16">
        <f t="shared" ref="H168:R168" si="101">IF(H182&gt;H181,((H182-H181)*-1),((H181-H182)))</f>
        <v>43.83125080745458</v>
      </c>
      <c r="I168" s="16">
        <f t="shared" si="101"/>
        <v>32.745501702029543</v>
      </c>
      <c r="J168" s="16">
        <f t="shared" si="101"/>
        <v>2.2003624394657493</v>
      </c>
      <c r="K168" s="16">
        <f t="shared" si="101"/>
        <v>-20.128360192399526</v>
      </c>
      <c r="L168" s="16">
        <f t="shared" si="101"/>
        <v>-25.60715330813472</v>
      </c>
      <c r="M168" s="16">
        <f t="shared" si="101"/>
        <v>24.978113491317018</v>
      </c>
      <c r="N168" s="16">
        <f t="shared" si="101"/>
        <v>23.340784908351594</v>
      </c>
      <c r="O168" s="16">
        <f t="shared" si="101"/>
        <v>26.552180889465987</v>
      </c>
      <c r="P168" s="16">
        <f t="shared" si="101"/>
        <v>49.718782912244635</v>
      </c>
      <c r="Q168" s="16">
        <f t="shared" si="101"/>
        <v>77.249748929309561</v>
      </c>
      <c r="R168" s="14">
        <f t="shared" si="101"/>
        <v>138.61195666766733</v>
      </c>
      <c r="S168" s="18"/>
      <c r="T168" s="100" t="str">
        <f>'50% Exceedance Baseline'!T168</f>
        <v>Flow target surplus or deficit after input</v>
      </c>
    </row>
    <row r="169" spans="2:20" ht="15.75" thickBot="1" x14ac:dyDescent="0.3">
      <c r="B169" s="96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7"/>
      <c r="S169" s="18"/>
    </row>
    <row r="170" spans="2:20" ht="15.75" thickBot="1" x14ac:dyDescent="0.3">
      <c r="B170" s="97" t="s">
        <v>6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121">
        <v>0</v>
      </c>
      <c r="R170" s="46">
        <v>0</v>
      </c>
      <c r="S170" s="105"/>
      <c r="T170" s="100" t="str">
        <f>'50% Exceedance Baseline'!T170</f>
        <v>Flow input between Mgt. Pt. 7 and Mgt. Pt. 8</v>
      </c>
    </row>
    <row r="171" spans="2:20" x14ac:dyDescent="0.25">
      <c r="B171" s="95" t="s">
        <v>7</v>
      </c>
      <c r="C171" s="16">
        <f>IF(C182&gt;C181,((C182-C181)*-1),((C181-C182)))</f>
        <v>667.29318639999997</v>
      </c>
      <c r="D171" s="16">
        <f t="shared" ref="D171:R171" si="102">IF(D182&gt;D181,((D182-D181)*-1),((D181-D182)))</f>
        <v>303.71796180000001</v>
      </c>
      <c r="E171" s="16">
        <f t="shared" si="102"/>
        <v>161.46826600000003</v>
      </c>
      <c r="F171" s="16">
        <f t="shared" si="102"/>
        <v>99.32286803512514</v>
      </c>
      <c r="G171" s="16">
        <f t="shared" si="102"/>
        <v>17.707639639640718</v>
      </c>
      <c r="H171" s="16">
        <f t="shared" si="102"/>
        <v>43.83125080745458</v>
      </c>
      <c r="I171" s="16">
        <f t="shared" si="102"/>
        <v>32.745501702029543</v>
      </c>
      <c r="J171" s="16">
        <f t="shared" si="102"/>
        <v>2.2003624394657493</v>
      </c>
      <c r="K171" s="16">
        <f t="shared" si="102"/>
        <v>-20.128360192399526</v>
      </c>
      <c r="L171" s="16">
        <f t="shared" si="102"/>
        <v>-25.60715330813472</v>
      </c>
      <c r="M171" s="16">
        <f t="shared" si="102"/>
        <v>24.978113491317018</v>
      </c>
      <c r="N171" s="16">
        <f t="shared" si="102"/>
        <v>23.340784908351594</v>
      </c>
      <c r="O171" s="16">
        <f t="shared" si="102"/>
        <v>26.552180889465987</v>
      </c>
      <c r="P171" s="16">
        <f t="shared" si="102"/>
        <v>49.718782912244635</v>
      </c>
      <c r="Q171" s="16">
        <f t="shared" si="102"/>
        <v>77.249748929309561</v>
      </c>
      <c r="R171" s="14">
        <f t="shared" si="102"/>
        <v>138.61195666766733</v>
      </c>
      <c r="S171" s="18"/>
      <c r="T171" s="100" t="str">
        <f>'50% Exceedance Baseline'!T171</f>
        <v>Flow target surplus or deficit after input</v>
      </c>
    </row>
    <row r="172" spans="2:20" ht="15.75" thickBot="1" x14ac:dyDescent="0.3">
      <c r="B172" s="96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7"/>
      <c r="S172" s="18"/>
    </row>
    <row r="173" spans="2:20" ht="15.75" thickBot="1" x14ac:dyDescent="0.3">
      <c r="B173" s="73" t="s">
        <v>60</v>
      </c>
      <c r="C173" s="46">
        <v>0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121">
        <v>0</v>
      </c>
      <c r="R173" s="46">
        <v>0</v>
      </c>
      <c r="S173" s="105"/>
      <c r="T173" s="100" t="str">
        <f>'50% Exceedance Baseline'!T173</f>
        <v>Flow input between Mgt. Pt. 7 and Mgt. Pt. 8</v>
      </c>
    </row>
    <row r="174" spans="2:20" x14ac:dyDescent="0.25">
      <c r="B174" s="95" t="s">
        <v>7</v>
      </c>
      <c r="C174" s="16">
        <f>IF(C182&gt;C181,((C182-C181)*-1),((C181-C182)))</f>
        <v>667.29318639999997</v>
      </c>
      <c r="D174" s="16">
        <f t="shared" ref="D174" si="103">IF(D182&gt;D181,((D182-D181)*-1),((D181-D182)))</f>
        <v>303.71796180000001</v>
      </c>
      <c r="E174" s="16">
        <f>IF(E182&gt;E181,((E182-E181)*-1),((E181-E182)))</f>
        <v>161.46826600000003</v>
      </c>
      <c r="F174" s="16">
        <f t="shared" ref="F174:R174" si="104">IF(F182&gt;F181,((F182-F181)*-1),((F181-F182)))</f>
        <v>99.32286803512514</v>
      </c>
      <c r="G174" s="16">
        <f t="shared" si="104"/>
        <v>17.707639639640718</v>
      </c>
      <c r="H174" s="16">
        <f t="shared" si="104"/>
        <v>43.83125080745458</v>
      </c>
      <c r="I174" s="16">
        <f t="shared" si="104"/>
        <v>32.745501702029543</v>
      </c>
      <c r="J174" s="16">
        <f t="shared" si="104"/>
        <v>2.2003624394657493</v>
      </c>
      <c r="K174" s="16">
        <f t="shared" si="104"/>
        <v>-20.128360192399526</v>
      </c>
      <c r="L174" s="16">
        <f t="shared" si="104"/>
        <v>-25.60715330813472</v>
      </c>
      <c r="M174" s="16">
        <f t="shared" si="104"/>
        <v>24.978113491317018</v>
      </c>
      <c r="N174" s="16">
        <f t="shared" si="104"/>
        <v>23.340784908351594</v>
      </c>
      <c r="O174" s="16">
        <f t="shared" si="104"/>
        <v>26.552180889465987</v>
      </c>
      <c r="P174" s="16">
        <f t="shared" si="104"/>
        <v>49.718782912244635</v>
      </c>
      <c r="Q174" s="16">
        <f t="shared" si="104"/>
        <v>77.249748929309561</v>
      </c>
      <c r="R174" s="14">
        <f t="shared" si="104"/>
        <v>138.61195666766733</v>
      </c>
      <c r="S174" s="18"/>
      <c r="T174" s="100" t="str">
        <f>'50% Exceedance Baseline'!T174</f>
        <v>Flow target surplus or deficit after input</v>
      </c>
    </row>
    <row r="175" spans="2:20" x14ac:dyDescent="0.25">
      <c r="B175" s="98" t="s">
        <v>27</v>
      </c>
      <c r="C175" s="18">
        <f t="shared" ref="C175:F175" si="105">SUM(C167+C170+C173)</f>
        <v>0</v>
      </c>
      <c r="D175" s="18">
        <f t="shared" si="105"/>
        <v>0</v>
      </c>
      <c r="E175" s="18">
        <f t="shared" si="105"/>
        <v>0</v>
      </c>
      <c r="F175" s="18">
        <f t="shared" si="105"/>
        <v>0</v>
      </c>
      <c r="G175" s="18">
        <f>SUM(G167+G170+G173)</f>
        <v>0</v>
      </c>
      <c r="H175" s="18">
        <f t="shared" ref="H175:N175" si="106">SUM(H167+H170+H173)</f>
        <v>0</v>
      </c>
      <c r="I175" s="18">
        <f t="shared" si="106"/>
        <v>0</v>
      </c>
      <c r="J175" s="18">
        <f t="shared" si="106"/>
        <v>0</v>
      </c>
      <c r="K175" s="18">
        <f t="shared" si="106"/>
        <v>0</v>
      </c>
      <c r="L175" s="18">
        <f t="shared" si="106"/>
        <v>0</v>
      </c>
      <c r="M175" s="18">
        <f t="shared" si="106"/>
        <v>0</v>
      </c>
      <c r="N175" s="18">
        <f t="shared" si="106"/>
        <v>0</v>
      </c>
      <c r="O175" s="18">
        <f>SUM(O167+O170+O173)</f>
        <v>0</v>
      </c>
      <c r="P175" s="18">
        <f>SUM(P167+P170+P173)</f>
        <v>0</v>
      </c>
      <c r="Q175" s="18">
        <f>SUM(Q167+Q170+Q173)</f>
        <v>0</v>
      </c>
      <c r="R175" s="17">
        <f>SUM(R167+R170+R173)</f>
        <v>0</v>
      </c>
      <c r="S175" s="18"/>
      <c r="T175" s="100" t="str">
        <f>'50% Exceedance Baseline'!T175</f>
        <v>Subtotal of all inputs in Touchet Confluence to Pierce RV reach</v>
      </c>
    </row>
    <row r="176" spans="2:20" ht="15.75" thickBot="1" x14ac:dyDescent="0.3">
      <c r="B176" s="96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3"/>
      <c r="S176" s="118"/>
    </row>
    <row r="177" spans="2:21" s="64" customFormat="1" ht="15.75" thickBot="1" x14ac:dyDescent="0.3">
      <c r="B177" s="70" t="s">
        <v>69</v>
      </c>
      <c r="C177" s="69">
        <f>'50% Exceedance Baseline'!C177</f>
        <v>-0.223</v>
      </c>
      <c r="D177" s="69">
        <f>'50% Exceedance Baseline'!D177</f>
        <v>-0.223</v>
      </c>
      <c r="E177" s="69">
        <f>'50% Exceedance Baseline'!E177</f>
        <v>-0.223</v>
      </c>
      <c r="F177" s="69">
        <f>'50% Exceedance Baseline'!F177</f>
        <v>-0.223</v>
      </c>
      <c r="G177" s="69">
        <f>'50% Exceedance Baseline'!G177</f>
        <v>-0.223</v>
      </c>
      <c r="H177" s="69">
        <f>'50% Exceedance Baseline'!H177</f>
        <v>-0.223</v>
      </c>
      <c r="I177" s="69">
        <f>'50% Exceedance Baseline'!I177</f>
        <v>-0.17299999999999999</v>
      </c>
      <c r="J177" s="69">
        <f>'50% Exceedance Baseline'!J177</f>
        <v>-0.17299999999999999</v>
      </c>
      <c r="K177" s="69">
        <f>'50% Exceedance Baseline'!K177</f>
        <v>-0.36899999999999999</v>
      </c>
      <c r="L177" s="69">
        <f>'50% Exceedance Baseline'!L177</f>
        <v>-0.36899999999999999</v>
      </c>
      <c r="M177" s="82">
        <f>'50% Exceedance Baseline'!M177</f>
        <v>0.35</v>
      </c>
      <c r="N177" s="82">
        <f>'50% Exceedance Baseline'!N177</f>
        <v>0.35</v>
      </c>
      <c r="O177" s="82">
        <f>'50% Exceedance Baseline'!O177</f>
        <v>0.32</v>
      </c>
      <c r="P177" s="82">
        <f>'50% Exceedance Baseline'!P177</f>
        <v>0.32</v>
      </c>
      <c r="Q177" s="82">
        <f>'50% Exceedance Baseline'!Q177</f>
        <v>0.32</v>
      </c>
      <c r="R177" s="82">
        <f>'50% Exceedance Baseline'!R177</f>
        <v>0.32</v>
      </c>
      <c r="S177" s="107"/>
      <c r="T177" s="100" t="str">
        <f>'50% Exceedance Baseline'!T177</f>
        <v>Percentage total inputs lost or gained due to streambed hydrology (2002-2015 WWBWC seepage data)</v>
      </c>
      <c r="U177" s="83"/>
    </row>
    <row r="178" spans="2:21" x14ac:dyDescent="0.25">
      <c r="B178" s="84" t="s">
        <v>20</v>
      </c>
      <c r="C178" s="57">
        <f>SUM(C175+C159)*(1+C177)</f>
        <v>0</v>
      </c>
      <c r="D178" s="57">
        <f t="shared" ref="D178:N178" si="107">SUM(D175+D159)*(1+D177)</f>
        <v>0</v>
      </c>
      <c r="E178" s="57">
        <f t="shared" si="107"/>
        <v>0</v>
      </c>
      <c r="F178" s="57">
        <f t="shared" si="107"/>
        <v>70.728347235125142</v>
      </c>
      <c r="G178" s="57">
        <f t="shared" si="107"/>
        <v>101.06988524964072</v>
      </c>
      <c r="H178" s="57">
        <f t="shared" si="107"/>
        <v>69.196275737454584</v>
      </c>
      <c r="I178" s="57">
        <f t="shared" si="107"/>
        <v>44.442625482029548</v>
      </c>
      <c r="J178" s="57">
        <f t="shared" si="107"/>
        <v>45.473049179465754</v>
      </c>
      <c r="K178" s="57">
        <f t="shared" si="107"/>
        <v>32.747614557600471</v>
      </c>
      <c r="L178" s="57">
        <f t="shared" si="107"/>
        <v>26.783917031865279</v>
      </c>
      <c r="M178" s="57">
        <f t="shared" si="107"/>
        <v>57.87391745131702</v>
      </c>
      <c r="N178" s="57">
        <f t="shared" si="107"/>
        <v>56.167730398351594</v>
      </c>
      <c r="O178" s="57">
        <f>SUM(O175+O159)*(1+O177)</f>
        <v>62.32473131946599</v>
      </c>
      <c r="P178" s="57">
        <f>SUM(P175+P159)*(1+P177)</f>
        <v>63.392173372244635</v>
      </c>
      <c r="Q178" s="57">
        <f>SUM(Q175+Q159)*(1+Q177)</f>
        <v>46.541437569309565</v>
      </c>
      <c r="R178" s="58">
        <f>SUM(R175+R159)*(1+R177)</f>
        <v>32.19573616766732</v>
      </c>
      <c r="S178" s="110"/>
      <c r="T178" s="100" t="str">
        <f>'50% Exceedance Baseline'!T178</f>
        <v>Total of all upstream input flow adjusted for streambed loss or gain</v>
      </c>
    </row>
    <row r="179" spans="2:21" ht="15.75" thickBot="1" x14ac:dyDescent="0.3">
      <c r="B179" s="71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3"/>
      <c r="S179" s="110"/>
    </row>
    <row r="180" spans="2:21" ht="15.75" thickBot="1" x14ac:dyDescent="0.3">
      <c r="B180" s="24" t="s">
        <v>59</v>
      </c>
      <c r="C180" s="123">
        <f>'50% Exceedance Baseline'!C180</f>
        <v>817.29318639999997</v>
      </c>
      <c r="D180" s="123">
        <f>'50% Exceedance Baseline'!D180</f>
        <v>453.71796180000001</v>
      </c>
      <c r="E180" s="123">
        <f>'50% Exceedance Baseline'!E180</f>
        <v>311.46826600000003</v>
      </c>
      <c r="F180" s="123">
        <f>'50% Exceedance Baseline'!F180</f>
        <v>178.5945208</v>
      </c>
      <c r="G180" s="123">
        <f>'50% Exceedance Baseline'!G180</f>
        <v>66.637754389999998</v>
      </c>
      <c r="H180" s="123">
        <f>'50% Exceedance Baseline'!H180</f>
        <v>74.634975069999996</v>
      </c>
      <c r="I180" s="123">
        <f>'50% Exceedance Baseline'!I180</f>
        <v>53.302876220000002</v>
      </c>
      <c r="J180" s="123">
        <f>'50% Exceedance Baseline'!J180</f>
        <v>21.727313259999999</v>
      </c>
      <c r="K180" s="123">
        <f>'50% Exceedance Baseline'!K180</f>
        <v>12.124025250000001</v>
      </c>
      <c r="L180" s="123">
        <f>'50% Exceedance Baseline'!L180</f>
        <v>12.608929659999999</v>
      </c>
      <c r="M180" s="123">
        <f>'50% Exceedance Baseline'!M180</f>
        <v>32.104196039999998</v>
      </c>
      <c r="N180" s="123">
        <f>'50% Exceedance Baseline'!N180</f>
        <v>32.17305451</v>
      </c>
      <c r="O180" s="123">
        <f>'50% Exceedance Baseline'!O180</f>
        <v>29.227449570000001</v>
      </c>
      <c r="P180" s="123">
        <f>'50% Exceedance Baseline'!P180</f>
        <v>51.32660954</v>
      </c>
      <c r="Q180" s="123">
        <f>'50% Exceedance Baseline'!Q180</f>
        <v>95.708311359999996</v>
      </c>
      <c r="R180" s="123">
        <f>'50% Exceedance Baseline'!R180</f>
        <v>171.41622050000001</v>
      </c>
      <c r="S180" s="27"/>
      <c r="T180" s="100" t="str">
        <f>'50% Exceedance Baseline'!T180</f>
        <v>Median flow data at S-125 gage (2013-2016)</v>
      </c>
    </row>
    <row r="181" spans="2:21" x14ac:dyDescent="0.25">
      <c r="B181" s="47" t="s">
        <v>42</v>
      </c>
      <c r="C181" s="48">
        <f>C180+C178</f>
        <v>817.29318639999997</v>
      </c>
      <c r="D181" s="48">
        <f t="shared" ref="D181:E181" si="108">D180+D178</f>
        <v>453.71796180000001</v>
      </c>
      <c r="E181" s="48">
        <f t="shared" si="108"/>
        <v>311.46826600000003</v>
      </c>
      <c r="F181" s="48">
        <f>F180+F178</f>
        <v>249.32286803512514</v>
      </c>
      <c r="G181" s="48">
        <f t="shared" ref="G181:H181" si="109">G180+G178</f>
        <v>167.70763963964072</v>
      </c>
      <c r="H181" s="48">
        <f t="shared" si="109"/>
        <v>143.83125080745458</v>
      </c>
      <c r="I181" s="48">
        <f>I180+I178</f>
        <v>97.745501702029543</v>
      </c>
      <c r="J181" s="48">
        <f t="shared" ref="J181:N181" si="110">J180+J178</f>
        <v>67.200362439465749</v>
      </c>
      <c r="K181" s="48">
        <f t="shared" si="110"/>
        <v>44.871639807600474</v>
      </c>
      <c r="L181" s="48">
        <f t="shared" si="110"/>
        <v>39.39284669186528</v>
      </c>
      <c r="M181" s="48">
        <f t="shared" si="110"/>
        <v>89.978113491317018</v>
      </c>
      <c r="N181" s="48">
        <f t="shared" si="110"/>
        <v>88.340784908351594</v>
      </c>
      <c r="O181" s="48">
        <f>O180+O178</f>
        <v>91.552180889465987</v>
      </c>
      <c r="P181" s="48">
        <f>P180+P178</f>
        <v>114.71878291224463</v>
      </c>
      <c r="Q181" s="48">
        <f>Q180+Q178</f>
        <v>142.24974892930956</v>
      </c>
      <c r="R181" s="49">
        <f>R180+R178</f>
        <v>203.61195666766733</v>
      </c>
      <c r="S181" s="111"/>
      <c r="T181" s="100" t="str">
        <f>'50% Exceedance Baseline'!T181</f>
        <v>Flow gage data plus cumulative inputs adjusted for streambed loss or gain</v>
      </c>
    </row>
    <row r="182" spans="2:21" x14ac:dyDescent="0.25">
      <c r="B182" s="10" t="s">
        <v>8</v>
      </c>
      <c r="C182" s="8">
        <f>$C$16</f>
        <v>150</v>
      </c>
      <c r="D182" s="8">
        <f>$D$16</f>
        <v>150</v>
      </c>
      <c r="E182" s="8">
        <f>$E$16</f>
        <v>150</v>
      </c>
      <c r="F182" s="8">
        <f>$F$16</f>
        <v>150</v>
      </c>
      <c r="G182" s="8">
        <f>$G$16</f>
        <v>150</v>
      </c>
      <c r="H182" s="8">
        <f>$H$16</f>
        <v>100</v>
      </c>
      <c r="I182" s="8">
        <f>$I$16</f>
        <v>65</v>
      </c>
      <c r="J182" s="8">
        <f>$J$16</f>
        <v>65</v>
      </c>
      <c r="K182" s="8">
        <f>$K$16</f>
        <v>65</v>
      </c>
      <c r="L182" s="8">
        <f>$L$16</f>
        <v>65</v>
      </c>
      <c r="M182" s="8">
        <f>$M$16</f>
        <v>65</v>
      </c>
      <c r="N182" s="8">
        <f>$N$16</f>
        <v>65</v>
      </c>
      <c r="O182" s="8">
        <f>$O$16</f>
        <v>65</v>
      </c>
      <c r="P182" s="8">
        <f>$P$16</f>
        <v>65</v>
      </c>
      <c r="Q182" s="8">
        <f>$Q$16</f>
        <v>65</v>
      </c>
      <c r="R182" s="9">
        <f>$R$16</f>
        <v>65</v>
      </c>
      <c r="S182" s="112"/>
      <c r="T182" s="100" t="str">
        <f>'50% Exceedance Baseline'!T182</f>
        <v>Target flows</v>
      </c>
    </row>
    <row r="183" spans="2:21" ht="15.75" thickBot="1" x14ac:dyDescent="0.3">
      <c r="B183" s="37" t="s">
        <v>17</v>
      </c>
      <c r="C183" s="38">
        <f>IF(C181&gt;C182,0,(C182-C181)*-1)</f>
        <v>0</v>
      </c>
      <c r="D183" s="38">
        <f t="shared" ref="D183:E183" si="111">IF(D181&gt;D182,0,(D182-D181)*-1)</f>
        <v>0</v>
      </c>
      <c r="E183" s="38">
        <f t="shared" si="111"/>
        <v>0</v>
      </c>
      <c r="F183" s="38">
        <f>IF(F181&gt;F182,0,(F182-F181)*-1)</f>
        <v>0</v>
      </c>
      <c r="G183" s="38">
        <f>IF(G181&gt;G182,0,(G182-G181)*-1)</f>
        <v>0</v>
      </c>
      <c r="H183" s="38">
        <f>IF(H181&gt;H182,0,(H182-H181)*-1)</f>
        <v>0</v>
      </c>
      <c r="I183" s="38">
        <f t="shared" ref="I183:N183" si="112">IF(I181&gt;I182,0,(I182-I181)*-1)</f>
        <v>0</v>
      </c>
      <c r="J183" s="38">
        <f>IF(J181&gt;J182,0,(J182-J181)*-1)</f>
        <v>0</v>
      </c>
      <c r="K183" s="38">
        <f t="shared" si="112"/>
        <v>-20.128360192399526</v>
      </c>
      <c r="L183" s="38">
        <f t="shared" si="112"/>
        <v>-25.60715330813472</v>
      </c>
      <c r="M183" s="38">
        <f t="shared" si="112"/>
        <v>0</v>
      </c>
      <c r="N183" s="38">
        <f t="shared" si="112"/>
        <v>0</v>
      </c>
      <c r="O183" s="38">
        <f>IF(O181&gt;O182,0,(O182-O181)*-1)</f>
        <v>0</v>
      </c>
      <c r="P183" s="38">
        <f>IF(P181&gt;P182,0,(P182-P181)*-1)</f>
        <v>0</v>
      </c>
      <c r="Q183" s="38">
        <f>IF(Q181&gt;Q182,0,(Q182-Q181)*-1)</f>
        <v>0</v>
      </c>
      <c r="R183" s="39">
        <f>IF(R181&gt;R182,0,(R182-R181)*-1)</f>
        <v>0</v>
      </c>
      <c r="S183" s="105"/>
      <c r="T183" s="100" t="str">
        <f>'50% Exceedance Baseline'!T183</f>
        <v>Deficit between target flows and flow gage data plus total adjusted inputs</v>
      </c>
    </row>
    <row r="184" spans="2:21" x14ac:dyDescent="0.2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115"/>
    </row>
    <row r="185" spans="2:21" x14ac:dyDescent="0.25">
      <c r="B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2"/>
      <c r="U185" s="1"/>
    </row>
    <row r="186" spans="2:21" x14ac:dyDescent="0.25">
      <c r="B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2"/>
      <c r="U186" s="1"/>
    </row>
    <row r="187" spans="2:21" x14ac:dyDescent="0.25">
      <c r="B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2"/>
      <c r="U187" s="1"/>
    </row>
    <row r="188" spans="2:21" x14ac:dyDescent="0.25">
      <c r="B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2"/>
      <c r="U188" s="1"/>
    </row>
    <row r="189" spans="2:21" x14ac:dyDescent="0.25">
      <c r="B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2"/>
      <c r="U189" s="1"/>
    </row>
    <row r="190" spans="2:21" x14ac:dyDescent="0.25">
      <c r="B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2"/>
      <c r="U190" s="1"/>
    </row>
    <row r="191" spans="2:21" x14ac:dyDescent="0.25">
      <c r="B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2"/>
      <c r="U191" s="1"/>
    </row>
    <row r="192" spans="2:21" x14ac:dyDescent="0.25">
      <c r="B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2"/>
      <c r="U192" s="1"/>
    </row>
    <row r="193" spans="2:21" x14ac:dyDescent="0.25">
      <c r="B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2"/>
      <c r="U193" s="1"/>
    </row>
    <row r="194" spans="2:21" x14ac:dyDescent="0.25">
      <c r="B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2"/>
      <c r="U194" s="1"/>
    </row>
    <row r="195" spans="2:21" x14ac:dyDescent="0.25">
      <c r="B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2"/>
      <c r="U195" s="1"/>
    </row>
    <row r="196" spans="2:21" x14ac:dyDescent="0.25">
      <c r="B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2"/>
      <c r="U196" s="1"/>
    </row>
    <row r="197" spans="2:21" x14ac:dyDescent="0.25">
      <c r="B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2"/>
      <c r="U197" s="1"/>
    </row>
    <row r="198" spans="2:21" x14ac:dyDescent="0.25">
      <c r="B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2"/>
      <c r="U198" s="1"/>
    </row>
    <row r="199" spans="2:21" x14ac:dyDescent="0.25">
      <c r="B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2"/>
      <c r="U199" s="1"/>
    </row>
    <row r="200" spans="2:21" x14ac:dyDescent="0.25">
      <c r="B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2"/>
      <c r="U200" s="1"/>
    </row>
    <row r="201" spans="2:21" x14ac:dyDescent="0.25">
      <c r="B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2"/>
      <c r="U201" s="1"/>
    </row>
    <row r="202" spans="2:21" x14ac:dyDescent="0.25">
      <c r="B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2"/>
      <c r="U202" s="1"/>
    </row>
  </sheetData>
  <mergeCells count="8">
    <mergeCell ref="O6:P6"/>
    <mergeCell ref="Q6:R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02"/>
  <sheetViews>
    <sheetView zoomScale="73" zoomScaleNormal="73" zoomScalePageLayoutView="125" workbookViewId="0">
      <pane ySplit="17" topLeftCell="A108" activePane="bottomLeft" state="frozen"/>
      <selection pane="bottomLeft" activeCell="C127" sqref="C127:R127"/>
    </sheetView>
  </sheetViews>
  <sheetFormatPr defaultColWidth="8.85546875" defaultRowHeight="15" x14ac:dyDescent="0.25"/>
  <cols>
    <col min="1" max="1" width="4.85546875" style="1" customWidth="1"/>
    <col min="2" max="2" width="55.42578125" style="1" customWidth="1"/>
    <col min="3" max="5" width="8.85546875" style="3" customWidth="1"/>
    <col min="6" max="18" width="8.85546875" style="3"/>
    <col min="19" max="19" width="8.85546875" style="13"/>
    <col min="20" max="20" width="10.140625" style="100" customWidth="1"/>
    <col min="21" max="21" width="8.85546875" style="3"/>
    <col min="22" max="22" width="9" style="1" customWidth="1"/>
    <col min="23" max="23" width="8.85546875" style="1"/>
    <col min="24" max="24" width="18" style="1" customWidth="1"/>
    <col min="25" max="16384" width="8.85546875" style="1"/>
  </cols>
  <sheetData>
    <row r="1" spans="2:25" ht="15.75" thickBot="1" x14ac:dyDescent="0.3"/>
    <row r="2" spans="2:25" x14ac:dyDescent="0.25">
      <c r="B2" s="144" t="s">
        <v>68</v>
      </c>
    </row>
    <row r="3" spans="2:25" x14ac:dyDescent="0.25">
      <c r="B3" s="130" t="s">
        <v>148</v>
      </c>
    </row>
    <row r="4" spans="2:25" ht="18.75" x14ac:dyDescent="0.3">
      <c r="B4" s="74" t="s">
        <v>117</v>
      </c>
      <c r="J4" s="125" t="s">
        <v>106</v>
      </c>
    </row>
    <row r="5" spans="2:25" ht="15.75" thickBot="1" x14ac:dyDescent="0.3">
      <c r="B5" s="134" t="s">
        <v>114</v>
      </c>
    </row>
    <row r="6" spans="2:25" ht="15.75" thickBot="1" x14ac:dyDescent="0.3">
      <c r="B6" s="33"/>
      <c r="C6" s="165" t="s">
        <v>29</v>
      </c>
      <c r="D6" s="165"/>
      <c r="E6" s="165" t="s">
        <v>30</v>
      </c>
      <c r="F6" s="165"/>
      <c r="G6" s="165" t="s">
        <v>31</v>
      </c>
      <c r="H6" s="165"/>
      <c r="I6" s="165" t="s">
        <v>32</v>
      </c>
      <c r="J6" s="165"/>
      <c r="K6" s="165" t="s">
        <v>33</v>
      </c>
      <c r="L6" s="165"/>
      <c r="M6" s="165" t="s">
        <v>34</v>
      </c>
      <c r="N6" s="165"/>
      <c r="O6" s="165" t="s">
        <v>35</v>
      </c>
      <c r="P6" s="165"/>
      <c r="Q6" s="165" t="s">
        <v>105</v>
      </c>
      <c r="R6" s="165"/>
      <c r="S6" s="27"/>
    </row>
    <row r="7" spans="2:25" s="4" customFormat="1" x14ac:dyDescent="0.25">
      <c r="B7" s="51" t="s">
        <v>43</v>
      </c>
      <c r="C7" s="52">
        <f>C35</f>
        <v>0</v>
      </c>
      <c r="D7" s="52">
        <f t="shared" ref="D7:N7" si="0">D35</f>
        <v>0</v>
      </c>
      <c r="E7" s="52">
        <f t="shared" si="0"/>
        <v>0</v>
      </c>
      <c r="F7" s="52">
        <f t="shared" si="0"/>
        <v>0</v>
      </c>
      <c r="G7" s="52">
        <f t="shared" si="0"/>
        <v>0</v>
      </c>
      <c r="H7" s="52">
        <f t="shared" si="0"/>
        <v>0</v>
      </c>
      <c r="I7" s="52">
        <f t="shared" si="0"/>
        <v>0</v>
      </c>
      <c r="J7" s="52">
        <f t="shared" si="0"/>
        <v>0</v>
      </c>
      <c r="K7" s="52">
        <f t="shared" si="0"/>
        <v>0</v>
      </c>
      <c r="L7" s="52">
        <f t="shared" si="0"/>
        <v>0</v>
      </c>
      <c r="M7" s="52">
        <f t="shared" si="0"/>
        <v>0</v>
      </c>
      <c r="N7" s="52">
        <f t="shared" si="0"/>
        <v>0</v>
      </c>
      <c r="O7" s="52">
        <f>O35</f>
        <v>0</v>
      </c>
      <c r="P7" s="52">
        <f>P35</f>
        <v>0</v>
      </c>
      <c r="Q7" s="52">
        <f>Q35</f>
        <v>0</v>
      </c>
      <c r="R7" s="52">
        <f>R35</f>
        <v>0</v>
      </c>
      <c r="S7" s="105"/>
      <c r="T7" s="100"/>
      <c r="U7" s="155"/>
    </row>
    <row r="8" spans="2:25" s="4" customFormat="1" x14ac:dyDescent="0.25">
      <c r="B8" s="53" t="s">
        <v>44</v>
      </c>
      <c r="C8" s="54">
        <f>C58</f>
        <v>0</v>
      </c>
      <c r="D8" s="54">
        <f t="shared" ref="D8:N8" si="1">D58</f>
        <v>0</v>
      </c>
      <c r="E8" s="54">
        <f t="shared" si="1"/>
        <v>0</v>
      </c>
      <c r="F8" s="54">
        <f t="shared" si="1"/>
        <v>0</v>
      </c>
      <c r="G8" s="54">
        <f t="shared" si="1"/>
        <v>0</v>
      </c>
      <c r="H8" s="54">
        <f t="shared" si="1"/>
        <v>0</v>
      </c>
      <c r="I8" s="54">
        <f t="shared" si="1"/>
        <v>0</v>
      </c>
      <c r="J8" s="54">
        <f t="shared" si="1"/>
        <v>0</v>
      </c>
      <c r="K8" s="54">
        <f t="shared" si="1"/>
        <v>0</v>
      </c>
      <c r="L8" s="54">
        <f t="shared" si="1"/>
        <v>0</v>
      </c>
      <c r="M8" s="54">
        <f t="shared" si="1"/>
        <v>0</v>
      </c>
      <c r="N8" s="54">
        <f t="shared" si="1"/>
        <v>0</v>
      </c>
      <c r="O8" s="54">
        <f>O58</f>
        <v>0</v>
      </c>
      <c r="P8" s="54">
        <f>P58</f>
        <v>0</v>
      </c>
      <c r="Q8" s="54">
        <f>Q58</f>
        <v>0</v>
      </c>
      <c r="R8" s="54">
        <f>R58</f>
        <v>0</v>
      </c>
      <c r="S8" s="105"/>
      <c r="T8" s="100"/>
      <c r="U8" s="155"/>
    </row>
    <row r="9" spans="2:25" s="4" customFormat="1" x14ac:dyDescent="0.25">
      <c r="B9" s="53" t="s">
        <v>45</v>
      </c>
      <c r="C9" s="54">
        <f>C77</f>
        <v>0</v>
      </c>
      <c r="D9" s="54">
        <f t="shared" ref="D9:N9" si="2">D77</f>
        <v>0</v>
      </c>
      <c r="E9" s="54">
        <f t="shared" si="2"/>
        <v>0</v>
      </c>
      <c r="F9" s="54">
        <f t="shared" si="2"/>
        <v>0</v>
      </c>
      <c r="G9" s="54">
        <f t="shared" si="2"/>
        <v>0</v>
      </c>
      <c r="H9" s="54">
        <f t="shared" si="2"/>
        <v>0</v>
      </c>
      <c r="I9" s="54">
        <f t="shared" si="2"/>
        <v>0</v>
      </c>
      <c r="J9" s="54">
        <f t="shared" si="2"/>
        <v>0</v>
      </c>
      <c r="K9" s="54">
        <f t="shared" si="2"/>
        <v>0</v>
      </c>
      <c r="L9" s="54">
        <f t="shared" si="2"/>
        <v>0</v>
      </c>
      <c r="M9" s="54">
        <f t="shared" si="2"/>
        <v>0</v>
      </c>
      <c r="N9" s="54">
        <f t="shared" si="2"/>
        <v>0</v>
      </c>
      <c r="O9" s="54">
        <f>O77</f>
        <v>0</v>
      </c>
      <c r="P9" s="54">
        <f>P77</f>
        <v>0</v>
      </c>
      <c r="Q9" s="54">
        <f>Q77</f>
        <v>0</v>
      </c>
      <c r="R9" s="54">
        <f>R77</f>
        <v>0</v>
      </c>
      <c r="S9" s="105"/>
      <c r="T9" s="100"/>
      <c r="U9" s="155"/>
    </row>
    <row r="10" spans="2:25" s="4" customFormat="1" x14ac:dyDescent="0.25">
      <c r="B10" s="53" t="s">
        <v>46</v>
      </c>
      <c r="C10" s="54">
        <f>C101</f>
        <v>0</v>
      </c>
      <c r="D10" s="54">
        <f t="shared" ref="D10:N10" si="3">D101</f>
        <v>0</v>
      </c>
      <c r="E10" s="54">
        <f t="shared" si="3"/>
        <v>0</v>
      </c>
      <c r="F10" s="54">
        <f t="shared" si="3"/>
        <v>0</v>
      </c>
      <c r="G10" s="54">
        <f t="shared" si="3"/>
        <v>0</v>
      </c>
      <c r="H10" s="54">
        <f t="shared" si="3"/>
        <v>0</v>
      </c>
      <c r="I10" s="54">
        <f t="shared" si="3"/>
        <v>0</v>
      </c>
      <c r="J10" s="54">
        <f t="shared" si="3"/>
        <v>0</v>
      </c>
      <c r="K10" s="54">
        <f t="shared" si="3"/>
        <v>0</v>
      </c>
      <c r="L10" s="54">
        <f t="shared" si="3"/>
        <v>0</v>
      </c>
      <c r="M10" s="54">
        <f t="shared" si="3"/>
        <v>0</v>
      </c>
      <c r="N10" s="54">
        <f t="shared" si="3"/>
        <v>0</v>
      </c>
      <c r="O10" s="54">
        <f>O101</f>
        <v>0</v>
      </c>
      <c r="P10" s="54">
        <f>P101</f>
        <v>0</v>
      </c>
      <c r="Q10" s="54">
        <f>Q101</f>
        <v>0</v>
      </c>
      <c r="R10" s="54">
        <f>R101</f>
        <v>0</v>
      </c>
      <c r="S10" s="105"/>
      <c r="T10" s="100"/>
      <c r="U10" s="155"/>
    </row>
    <row r="11" spans="2:25" s="4" customFormat="1" x14ac:dyDescent="0.25">
      <c r="B11" s="53" t="s">
        <v>47</v>
      </c>
      <c r="C11" s="54">
        <f>C122</f>
        <v>0</v>
      </c>
      <c r="D11" s="54">
        <f t="shared" ref="D11:N11" si="4">D122</f>
        <v>0</v>
      </c>
      <c r="E11" s="54">
        <f t="shared" si="4"/>
        <v>0</v>
      </c>
      <c r="F11" s="54">
        <f t="shared" si="4"/>
        <v>0</v>
      </c>
      <c r="G11" s="54">
        <f t="shared" si="4"/>
        <v>0</v>
      </c>
      <c r="H11" s="54">
        <f t="shared" si="4"/>
        <v>0</v>
      </c>
      <c r="I11" s="54">
        <f t="shared" si="4"/>
        <v>0</v>
      </c>
      <c r="J11" s="54">
        <f t="shared" si="4"/>
        <v>0</v>
      </c>
      <c r="K11" s="54">
        <f t="shared" si="4"/>
        <v>0</v>
      </c>
      <c r="L11" s="54">
        <f t="shared" si="4"/>
        <v>0</v>
      </c>
      <c r="M11" s="54">
        <f t="shared" si="4"/>
        <v>0</v>
      </c>
      <c r="N11" s="54">
        <f t="shared" si="4"/>
        <v>0</v>
      </c>
      <c r="O11" s="54">
        <f>O122</f>
        <v>0</v>
      </c>
      <c r="P11" s="54">
        <f>P122</f>
        <v>0</v>
      </c>
      <c r="Q11" s="54">
        <f>Q122</f>
        <v>0</v>
      </c>
      <c r="R11" s="54">
        <f>R122</f>
        <v>0</v>
      </c>
      <c r="S11" s="105"/>
      <c r="T11" s="100"/>
      <c r="U11" s="142"/>
    </row>
    <row r="12" spans="2:25" s="4" customFormat="1" x14ac:dyDescent="0.25">
      <c r="B12" s="53" t="s">
        <v>48</v>
      </c>
      <c r="C12" s="54">
        <f>C143</f>
        <v>0</v>
      </c>
      <c r="D12" s="54">
        <f t="shared" ref="D12:N12" si="5">D143</f>
        <v>0</v>
      </c>
      <c r="E12" s="54">
        <f t="shared" si="5"/>
        <v>0</v>
      </c>
      <c r="F12" s="54">
        <f t="shared" si="5"/>
        <v>0</v>
      </c>
      <c r="G12" s="54">
        <f t="shared" si="5"/>
        <v>0</v>
      </c>
      <c r="H12" s="54">
        <f t="shared" si="5"/>
        <v>-3.5495558582000228</v>
      </c>
      <c r="I12" s="54">
        <f t="shared" si="5"/>
        <v>0</v>
      </c>
      <c r="J12" s="54">
        <f t="shared" si="5"/>
        <v>0</v>
      </c>
      <c r="K12" s="54">
        <f t="shared" si="5"/>
        <v>0</v>
      </c>
      <c r="L12" s="54">
        <f t="shared" si="5"/>
        <v>0</v>
      </c>
      <c r="M12" s="54">
        <f t="shared" si="5"/>
        <v>0</v>
      </c>
      <c r="N12" s="54">
        <f t="shared" si="5"/>
        <v>0</v>
      </c>
      <c r="O12" s="54">
        <f>O143</f>
        <v>0</v>
      </c>
      <c r="P12" s="54">
        <f>P143</f>
        <v>0</v>
      </c>
      <c r="Q12" s="54">
        <f>Q143</f>
        <v>0</v>
      </c>
      <c r="R12" s="54">
        <f>R143</f>
        <v>0</v>
      </c>
      <c r="S12" s="105"/>
      <c r="T12" s="100"/>
      <c r="U12" s="142"/>
    </row>
    <row r="13" spans="2:25" s="4" customFormat="1" x14ac:dyDescent="0.25">
      <c r="B13" s="53" t="s">
        <v>70</v>
      </c>
      <c r="C13" s="54">
        <f>C164</f>
        <v>0</v>
      </c>
      <c r="D13" s="54">
        <f t="shared" ref="D13:N13" si="6">D164</f>
        <v>0</v>
      </c>
      <c r="E13" s="54">
        <f t="shared" si="6"/>
        <v>0</v>
      </c>
      <c r="F13" s="54">
        <f t="shared" si="6"/>
        <v>0</v>
      </c>
      <c r="G13" s="54">
        <f t="shared" si="6"/>
        <v>0</v>
      </c>
      <c r="H13" s="54">
        <f t="shared" si="6"/>
        <v>0</v>
      </c>
      <c r="I13" s="54">
        <f t="shared" si="6"/>
        <v>0</v>
      </c>
      <c r="J13" s="54">
        <f t="shared" si="6"/>
        <v>0</v>
      </c>
      <c r="K13" s="54">
        <f t="shared" si="6"/>
        <v>0</v>
      </c>
      <c r="L13" s="54">
        <f t="shared" si="6"/>
        <v>0</v>
      </c>
      <c r="M13" s="54">
        <f t="shared" si="6"/>
        <v>0</v>
      </c>
      <c r="N13" s="54">
        <f t="shared" si="6"/>
        <v>0</v>
      </c>
      <c r="O13" s="54">
        <f>O164</f>
        <v>0</v>
      </c>
      <c r="P13" s="54">
        <f>P164</f>
        <v>0</v>
      </c>
      <c r="Q13" s="54">
        <f>Q164</f>
        <v>0</v>
      </c>
      <c r="R13" s="54">
        <f>R164</f>
        <v>0</v>
      </c>
      <c r="S13" s="105"/>
      <c r="T13" s="100"/>
      <c r="U13" s="155"/>
    </row>
    <row r="14" spans="2:25" s="4" customFormat="1" ht="15.75" thickBot="1" x14ac:dyDescent="0.3">
      <c r="B14" s="55" t="s">
        <v>49</v>
      </c>
      <c r="C14" s="56">
        <f>C183</f>
        <v>0</v>
      </c>
      <c r="D14" s="56">
        <f t="shared" ref="D14:N14" si="7">D183</f>
        <v>0</v>
      </c>
      <c r="E14" s="56">
        <f t="shared" si="7"/>
        <v>0</v>
      </c>
      <c r="F14" s="56">
        <f t="shared" si="7"/>
        <v>0</v>
      </c>
      <c r="G14" s="56">
        <f t="shared" si="7"/>
        <v>0</v>
      </c>
      <c r="H14" s="56">
        <f t="shared" si="7"/>
        <v>0</v>
      </c>
      <c r="I14" s="56">
        <f t="shared" si="7"/>
        <v>0</v>
      </c>
      <c r="J14" s="56">
        <f t="shared" si="7"/>
        <v>0</v>
      </c>
      <c r="K14" s="56">
        <f t="shared" si="7"/>
        <v>-14.253750192399536</v>
      </c>
      <c r="L14" s="56">
        <f t="shared" si="7"/>
        <v>-12.683011308134716</v>
      </c>
      <c r="M14" s="56">
        <f t="shared" si="7"/>
        <v>0</v>
      </c>
      <c r="N14" s="56">
        <f t="shared" si="7"/>
        <v>0</v>
      </c>
      <c r="O14" s="56">
        <f>O183</f>
        <v>0</v>
      </c>
      <c r="P14" s="56">
        <f>P183</f>
        <v>0</v>
      </c>
      <c r="Q14" s="56">
        <f>Q183</f>
        <v>0</v>
      </c>
      <c r="R14" s="56">
        <f>R183</f>
        <v>0</v>
      </c>
      <c r="S14" s="105"/>
      <c r="T14" s="101" t="s">
        <v>131</v>
      </c>
      <c r="U14" s="31"/>
      <c r="V14" s="32"/>
      <c r="W14" s="32"/>
      <c r="X14" s="146">
        <f>SUM(U44,U47,U111,U129)+3000-(U41+U105+U126)</f>
        <v>29985.517500000002</v>
      </c>
      <c r="Y14" s="11" t="s">
        <v>125</v>
      </c>
    </row>
    <row r="15" spans="2:25" ht="15.75" thickBot="1" x14ac:dyDescent="0.3">
      <c r="T15" s="145" t="s">
        <v>129</v>
      </c>
      <c r="U15" s="147"/>
      <c r="V15" s="148"/>
      <c r="W15" s="148"/>
      <c r="X15" s="149">
        <f>SUM(X14)</f>
        <v>29985.517500000002</v>
      </c>
    </row>
    <row r="16" spans="2:25" s="4" customFormat="1" ht="15.75" thickBot="1" x14ac:dyDescent="0.3">
      <c r="B16" s="75" t="s">
        <v>107</v>
      </c>
      <c r="C16" s="45">
        <v>150</v>
      </c>
      <c r="D16" s="45">
        <v>150</v>
      </c>
      <c r="E16" s="45">
        <v>150</v>
      </c>
      <c r="F16" s="45">
        <v>150</v>
      </c>
      <c r="G16" s="45">
        <v>150</v>
      </c>
      <c r="H16" s="45">
        <v>100</v>
      </c>
      <c r="I16" s="45">
        <v>65</v>
      </c>
      <c r="J16" s="45">
        <v>65</v>
      </c>
      <c r="K16" s="45">
        <v>65</v>
      </c>
      <c r="L16" s="45">
        <v>65</v>
      </c>
      <c r="M16" s="45">
        <v>65</v>
      </c>
      <c r="N16" s="45">
        <v>65</v>
      </c>
      <c r="O16" s="45">
        <v>65</v>
      </c>
      <c r="P16" s="45">
        <v>65</v>
      </c>
      <c r="Q16" s="45">
        <v>65</v>
      </c>
      <c r="R16" s="45">
        <v>65</v>
      </c>
      <c r="S16" s="27"/>
      <c r="T16" s="150" t="s">
        <v>132</v>
      </c>
      <c r="U16" s="32"/>
      <c r="V16" s="32"/>
      <c r="W16" s="32"/>
      <c r="X16" s="146">
        <f>SUM(C7:R14)*15*1.9835</f>
        <v>-907.04415721574162</v>
      </c>
    </row>
    <row r="17" spans="2:21" s="28" customFormat="1" x14ac:dyDescent="0.25">
      <c r="B17" s="7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02"/>
      <c r="U17" s="27"/>
    </row>
    <row r="18" spans="2:21" s="4" customFormat="1" ht="15.75" thickBot="1" x14ac:dyDescent="0.3">
      <c r="B18" s="77" t="s">
        <v>50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101" t="str">
        <f>'50% Exceedance Baseline'!T18</f>
        <v>NOTES</v>
      </c>
      <c r="U18" s="155"/>
    </row>
    <row r="19" spans="2:21" s="11" customFormat="1" ht="15.75" thickBot="1" x14ac:dyDescent="0.3">
      <c r="B19" s="78" t="s">
        <v>5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121">
        <v>0</v>
      </c>
      <c r="R19" s="46">
        <v>0</v>
      </c>
      <c r="S19" s="105"/>
      <c r="T19" s="100" t="str">
        <f>'50% Exceedance Baseline'!T19</f>
        <v>Flow input above Mgt. Pt. 1</v>
      </c>
      <c r="U19" s="8"/>
    </row>
    <row r="20" spans="2:21" s="11" customFormat="1" x14ac:dyDescent="0.25">
      <c r="B20" s="79" t="s">
        <v>7</v>
      </c>
      <c r="C20" s="16">
        <f>IF(C34&gt;C33,((C34-C33)*-1),((C33-C34)))</f>
        <v>315.58645360000003</v>
      </c>
      <c r="D20" s="16">
        <f t="shared" ref="D20:E20" si="8">IF(D34&gt;D33,((D34-D33)*-1),((D33-D34)))</f>
        <v>250.7977975</v>
      </c>
      <c r="E20" s="16">
        <f t="shared" si="8"/>
        <v>234.0911236</v>
      </c>
      <c r="F20" s="16">
        <f>IF(F34&gt;F33,((F34-F33)*-1),((F33-F34)))</f>
        <v>105.40185410000001</v>
      </c>
      <c r="G20" s="16">
        <f>IF(G34&gt;G33,((G34-G33)*-1),((G33-G34)))</f>
        <v>72.051147100000009</v>
      </c>
      <c r="H20" s="16">
        <f t="shared" ref="H20:R20" si="9">IF(H34&gt;H33,((H34-H33)*-1),((H33-H34)))</f>
        <v>74.015495399999992</v>
      </c>
      <c r="I20" s="16">
        <f t="shared" si="9"/>
        <v>64.093295299999994</v>
      </c>
      <c r="J20" s="16">
        <f t="shared" si="9"/>
        <v>43.301793500000002</v>
      </c>
      <c r="K20" s="16">
        <f t="shared" si="9"/>
        <v>36.390017099999994</v>
      </c>
      <c r="L20" s="16">
        <f t="shared" si="9"/>
        <v>34.097356379999994</v>
      </c>
      <c r="M20" s="16">
        <f t="shared" si="9"/>
        <v>35.555049600000004</v>
      </c>
      <c r="N20" s="16">
        <f t="shared" si="9"/>
        <v>40.275458499999999</v>
      </c>
      <c r="O20" s="16">
        <f t="shared" si="9"/>
        <v>44.218186099999997</v>
      </c>
      <c r="P20" s="16">
        <f t="shared" si="9"/>
        <v>44.636585600000004</v>
      </c>
      <c r="Q20" s="16">
        <f t="shared" si="9"/>
        <v>49.726156500000002</v>
      </c>
      <c r="R20" s="14">
        <f t="shared" si="9"/>
        <v>64.693781599999994</v>
      </c>
      <c r="S20" s="18"/>
      <c r="T20" s="100" t="str">
        <f>'50% Exceedance Baseline'!T20</f>
        <v>Flow target surplus or deficit after input</v>
      </c>
      <c r="U20" s="8"/>
    </row>
    <row r="21" spans="2:21" s="11" customFormat="1" ht="15.75" thickBot="1" x14ac:dyDescent="0.3">
      <c r="B21" s="8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7"/>
      <c r="S21" s="18"/>
      <c r="T21" s="100"/>
      <c r="U21" s="8"/>
    </row>
    <row r="22" spans="2:21" ht="15.75" thickBot="1" x14ac:dyDescent="0.3">
      <c r="B22" s="73" t="s">
        <v>6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121">
        <v>0</v>
      </c>
      <c r="R22" s="46">
        <v>0</v>
      </c>
      <c r="S22" s="105"/>
      <c r="T22" s="100" t="str">
        <f>'50% Exceedance Baseline'!T22</f>
        <v>Flow input above Mgt. Pt. 1</v>
      </c>
    </row>
    <row r="23" spans="2:21" s="4" customFormat="1" x14ac:dyDescent="0.25">
      <c r="B23" s="79" t="s">
        <v>7</v>
      </c>
      <c r="C23" s="16">
        <f>IF(C34&gt;C33,((C34-C33)*-1),((C33-C34)))</f>
        <v>315.58645360000003</v>
      </c>
      <c r="D23" s="16">
        <f t="shared" ref="D23:R23" si="10">IF(D34&gt;D33,((D34-D33)*-1),((D33-D34)))</f>
        <v>250.7977975</v>
      </c>
      <c r="E23" s="16">
        <f t="shared" si="10"/>
        <v>234.0911236</v>
      </c>
      <c r="F23" s="16">
        <f t="shared" si="10"/>
        <v>105.40185410000001</v>
      </c>
      <c r="G23" s="16">
        <f t="shared" si="10"/>
        <v>72.051147100000009</v>
      </c>
      <c r="H23" s="16">
        <f t="shared" si="10"/>
        <v>74.015495399999992</v>
      </c>
      <c r="I23" s="16">
        <f t="shared" si="10"/>
        <v>64.093295299999994</v>
      </c>
      <c r="J23" s="16">
        <f t="shared" si="10"/>
        <v>43.301793500000002</v>
      </c>
      <c r="K23" s="16">
        <f t="shared" si="10"/>
        <v>36.390017099999994</v>
      </c>
      <c r="L23" s="16">
        <f t="shared" si="10"/>
        <v>34.097356379999994</v>
      </c>
      <c r="M23" s="16">
        <f t="shared" si="10"/>
        <v>35.555049600000004</v>
      </c>
      <c r="N23" s="16">
        <f t="shared" si="10"/>
        <v>40.275458499999999</v>
      </c>
      <c r="O23" s="16">
        <f t="shared" si="10"/>
        <v>44.218186099999997</v>
      </c>
      <c r="P23" s="16">
        <f t="shared" si="10"/>
        <v>44.636585600000004</v>
      </c>
      <c r="Q23" s="16">
        <f t="shared" si="10"/>
        <v>49.726156500000002</v>
      </c>
      <c r="R23" s="14">
        <f t="shared" si="10"/>
        <v>64.693781599999994</v>
      </c>
      <c r="S23" s="18"/>
      <c r="T23" s="100" t="str">
        <f>'50% Exceedance Baseline'!T23</f>
        <v>Flow target surplus or deficit after input</v>
      </c>
      <c r="U23" s="155"/>
    </row>
    <row r="24" spans="2:21" s="26" customFormat="1" ht="15.75" thickBot="1" x14ac:dyDescent="0.3">
      <c r="B24" s="8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7"/>
      <c r="S24" s="18"/>
      <c r="T24" s="100"/>
      <c r="U24" s="25"/>
    </row>
    <row r="25" spans="2:21" s="4" customFormat="1" ht="15.75" thickBot="1" x14ac:dyDescent="0.3">
      <c r="B25" s="73" t="s">
        <v>60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121">
        <v>0</v>
      </c>
      <c r="R25" s="46">
        <v>0</v>
      </c>
      <c r="S25" s="105"/>
      <c r="T25" s="100" t="str">
        <f>'50% Exceedance Baseline'!T25</f>
        <v>Flow input above Mgt. Pt. 1</v>
      </c>
      <c r="U25" s="155"/>
    </row>
    <row r="26" spans="2:21" s="4" customFormat="1" x14ac:dyDescent="0.25">
      <c r="B26" s="79" t="s">
        <v>7</v>
      </c>
      <c r="C26" s="16">
        <f>IF(C34&gt;C33,((C34-C33)*-1),((C33-C34)))</f>
        <v>315.58645360000003</v>
      </c>
      <c r="D26" s="16">
        <f t="shared" ref="D26:R26" si="11">IF(D34&gt;D33,((D34-D33)*-1),((D33-D34)))</f>
        <v>250.7977975</v>
      </c>
      <c r="E26" s="16">
        <f t="shared" si="11"/>
        <v>234.0911236</v>
      </c>
      <c r="F26" s="16">
        <f t="shared" si="11"/>
        <v>105.40185410000001</v>
      </c>
      <c r="G26" s="16">
        <f t="shared" si="11"/>
        <v>72.051147100000009</v>
      </c>
      <c r="H26" s="16">
        <f t="shared" si="11"/>
        <v>74.015495399999992</v>
      </c>
      <c r="I26" s="16">
        <f t="shared" si="11"/>
        <v>64.093295299999994</v>
      </c>
      <c r="J26" s="16">
        <f t="shared" si="11"/>
        <v>43.301793500000002</v>
      </c>
      <c r="K26" s="16">
        <f t="shared" si="11"/>
        <v>36.390017099999994</v>
      </c>
      <c r="L26" s="16">
        <f t="shared" si="11"/>
        <v>34.097356379999994</v>
      </c>
      <c r="M26" s="16">
        <f t="shared" si="11"/>
        <v>35.555049600000004</v>
      </c>
      <c r="N26" s="16">
        <f t="shared" si="11"/>
        <v>40.275458499999999</v>
      </c>
      <c r="O26" s="16">
        <f t="shared" si="11"/>
        <v>44.218186099999997</v>
      </c>
      <c r="P26" s="16">
        <f t="shared" si="11"/>
        <v>44.636585600000004</v>
      </c>
      <c r="Q26" s="16">
        <f t="shared" si="11"/>
        <v>49.726156500000002</v>
      </c>
      <c r="R26" s="14">
        <f t="shared" si="11"/>
        <v>64.693781599999994</v>
      </c>
      <c r="S26" s="18"/>
      <c r="T26" s="100" t="str">
        <f>'50% Exceedance Baseline'!T26</f>
        <v>Flow target surplus or deficit after input</v>
      </c>
      <c r="U26" s="155"/>
    </row>
    <row r="27" spans="2:21" s="4" customFormat="1" x14ac:dyDescent="0.25">
      <c r="B27" s="81" t="s">
        <v>19</v>
      </c>
      <c r="C27" s="18">
        <f t="shared" ref="C27:F27" si="12">SUM(C19+C22+C25)</f>
        <v>0</v>
      </c>
      <c r="D27" s="18">
        <f t="shared" si="12"/>
        <v>0</v>
      </c>
      <c r="E27" s="18">
        <f t="shared" si="12"/>
        <v>0</v>
      </c>
      <c r="F27" s="18">
        <f t="shared" si="12"/>
        <v>0</v>
      </c>
      <c r="G27" s="18">
        <f>SUM(G19+G22+G25)</f>
        <v>0</v>
      </c>
      <c r="H27" s="18">
        <f t="shared" ref="H27:N27" si="13">SUM(H19+H22+H25)</f>
        <v>0</v>
      </c>
      <c r="I27" s="18">
        <f t="shared" si="13"/>
        <v>0</v>
      </c>
      <c r="J27" s="18">
        <f t="shared" si="13"/>
        <v>0</v>
      </c>
      <c r="K27" s="18">
        <f t="shared" si="13"/>
        <v>0</v>
      </c>
      <c r="L27" s="18">
        <f t="shared" si="13"/>
        <v>0</v>
      </c>
      <c r="M27" s="18">
        <f t="shared" si="13"/>
        <v>0</v>
      </c>
      <c r="N27" s="18">
        <f t="shared" si="13"/>
        <v>0</v>
      </c>
      <c r="O27" s="18">
        <f>SUM(O19+O22+O25)</f>
        <v>0</v>
      </c>
      <c r="P27" s="18">
        <f>SUM(P19+P22+P25)</f>
        <v>0</v>
      </c>
      <c r="Q27" s="18">
        <f>SUM(Q19+Q22+Q25)</f>
        <v>0</v>
      </c>
      <c r="R27" s="17">
        <f>SUM(R19+R22+R25)</f>
        <v>0</v>
      </c>
      <c r="S27" s="18"/>
      <c r="T27" s="100" t="str">
        <f>'50% Exceedance Baseline'!T27</f>
        <v>Subtotal of all inputs in reach above Milton-Freewater</v>
      </c>
      <c r="U27" s="155"/>
    </row>
    <row r="28" spans="2:21" s="4" customFormat="1" ht="15.75" thickBot="1" x14ac:dyDescent="0.3">
      <c r="B28" s="8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7"/>
      <c r="S28" s="18"/>
      <c r="T28" s="100"/>
      <c r="U28" s="155"/>
    </row>
    <row r="29" spans="2:21" s="64" customFormat="1" ht="15.75" thickBot="1" x14ac:dyDescent="0.3">
      <c r="B29" s="70" t="s">
        <v>28</v>
      </c>
      <c r="C29" s="82">
        <f>'50% Exceedance Baseline'!C29</f>
        <v>0.113</v>
      </c>
      <c r="D29" s="82">
        <f>'50% Exceedance Baseline'!D29</f>
        <v>0.113</v>
      </c>
      <c r="E29" s="82">
        <f>'50% Exceedance Baseline'!E29</f>
        <v>0.113</v>
      </c>
      <c r="F29" s="82">
        <f>'50% Exceedance Baseline'!F29</f>
        <v>0.113</v>
      </c>
      <c r="G29" s="82">
        <f>'50% Exceedance Baseline'!G29</f>
        <v>0.113</v>
      </c>
      <c r="H29" s="82">
        <f>'50% Exceedance Baseline'!H29</f>
        <v>0.113</v>
      </c>
      <c r="I29" s="82">
        <f>'50% Exceedance Baseline'!I29</f>
        <v>8.6999999999999994E-2</v>
      </c>
      <c r="J29" s="82">
        <f>'50% Exceedance Baseline'!J29</f>
        <v>8.6999999999999994E-2</v>
      </c>
      <c r="K29" s="82">
        <f>'50% Exceedance Baseline'!K29</f>
        <v>0.20699999999999999</v>
      </c>
      <c r="L29" s="82">
        <f>'50% Exceedance Baseline'!L29</f>
        <v>0.20699999999999999</v>
      </c>
      <c r="M29" s="82">
        <f>'50% Exceedance Baseline'!M29</f>
        <v>0.12</v>
      </c>
      <c r="N29" s="82">
        <f>'50% Exceedance Baseline'!N29</f>
        <v>0.12</v>
      </c>
      <c r="O29" s="82">
        <f>'50% Exceedance Baseline'!O29</f>
        <v>0.26700000000000002</v>
      </c>
      <c r="P29" s="82">
        <f>'50% Exceedance Baseline'!P29</f>
        <v>0.26700000000000002</v>
      </c>
      <c r="Q29" s="69">
        <f>'50% Exceedance Baseline'!Q29</f>
        <v>-0.14099999999999999</v>
      </c>
      <c r="R29" s="69">
        <f>'50% Exceedance Baseline'!R29</f>
        <v>-0.14099999999999999</v>
      </c>
      <c r="S29" s="106"/>
      <c r="T29" s="100" t="str">
        <f>'50% Exceedance Baseline'!T29</f>
        <v>Percentage total inputs lost or gained due to streambed hydrology (2002-2015 WWBWC seepage data)</v>
      </c>
      <c r="U29" s="83"/>
    </row>
    <row r="30" spans="2:21" s="4" customFormat="1" x14ac:dyDescent="0.25">
      <c r="B30" s="84" t="s">
        <v>20</v>
      </c>
      <c r="C30" s="57">
        <f>SUM(C27)*(1+C29)</f>
        <v>0</v>
      </c>
      <c r="D30" s="57">
        <f t="shared" ref="D30:N30" si="14">SUM(D27)*(1+D29)</f>
        <v>0</v>
      </c>
      <c r="E30" s="57">
        <f t="shared" si="14"/>
        <v>0</v>
      </c>
      <c r="F30" s="57">
        <f t="shared" si="14"/>
        <v>0</v>
      </c>
      <c r="G30" s="57">
        <f t="shared" si="14"/>
        <v>0</v>
      </c>
      <c r="H30" s="57">
        <f t="shared" si="14"/>
        <v>0</v>
      </c>
      <c r="I30" s="57">
        <f t="shared" si="14"/>
        <v>0</v>
      </c>
      <c r="J30" s="57">
        <f t="shared" si="14"/>
        <v>0</v>
      </c>
      <c r="K30" s="57">
        <f t="shared" si="14"/>
        <v>0</v>
      </c>
      <c r="L30" s="57">
        <f t="shared" si="14"/>
        <v>0</v>
      </c>
      <c r="M30" s="57">
        <f t="shared" si="14"/>
        <v>0</v>
      </c>
      <c r="N30" s="57">
        <f t="shared" si="14"/>
        <v>0</v>
      </c>
      <c r="O30" s="57">
        <f>SUM(O27)*(1+O29)</f>
        <v>0</v>
      </c>
      <c r="P30" s="57">
        <f>SUM(P27)*(1+P29)</f>
        <v>0</v>
      </c>
      <c r="Q30" s="57">
        <f>SUM(Q27)*(1+Q29)</f>
        <v>0</v>
      </c>
      <c r="R30" s="58">
        <f>SUM(R27)*(1+R29)</f>
        <v>0</v>
      </c>
      <c r="S30" s="110"/>
      <c r="T30" s="100" t="str">
        <f>'50% Exceedance Baseline'!T30</f>
        <v>Total of all upstream input flow adjusted for streambed loss or gain</v>
      </c>
      <c r="U30" s="155"/>
    </row>
    <row r="31" spans="2:21" s="4" customFormat="1" ht="15.75" thickBot="1" x14ac:dyDescent="0.3">
      <c r="B31" s="7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110"/>
      <c r="T31" s="100"/>
      <c r="U31" s="155"/>
    </row>
    <row r="32" spans="2:21" ht="15.75" thickBot="1" x14ac:dyDescent="0.3">
      <c r="B32" s="24" t="s">
        <v>52</v>
      </c>
      <c r="C32" s="123">
        <f>'50% Exceedance Baseline'!C32</f>
        <v>465.58645360000003</v>
      </c>
      <c r="D32" s="123">
        <f>'50% Exceedance Baseline'!D32</f>
        <v>400.7977975</v>
      </c>
      <c r="E32" s="123">
        <f>'50% Exceedance Baseline'!E32</f>
        <v>384.0911236</v>
      </c>
      <c r="F32" s="123">
        <f>'50% Exceedance Baseline'!F32</f>
        <v>255.40185410000001</v>
      </c>
      <c r="G32" s="123">
        <f>'50% Exceedance Baseline'!G32</f>
        <v>222.05114710000001</v>
      </c>
      <c r="H32" s="123">
        <f>'50% Exceedance Baseline'!H32</f>
        <v>174.01549539999999</v>
      </c>
      <c r="I32" s="123">
        <f>'50% Exceedance Baseline'!I32</f>
        <v>129.09329529999999</v>
      </c>
      <c r="J32" s="123">
        <f>'50% Exceedance Baseline'!J32</f>
        <v>108.3017935</v>
      </c>
      <c r="K32" s="123">
        <f>'50% Exceedance Baseline'!K32</f>
        <v>101.39001709999999</v>
      </c>
      <c r="L32" s="123">
        <f>'50% Exceedance Baseline'!L32</f>
        <v>99.097356379999994</v>
      </c>
      <c r="M32" s="123">
        <f>'50% Exceedance Baseline'!M32</f>
        <v>100.5550496</v>
      </c>
      <c r="N32" s="123">
        <f>'50% Exceedance Baseline'!N32</f>
        <v>105.2754585</v>
      </c>
      <c r="O32" s="123">
        <f>'50% Exceedance Baseline'!O32</f>
        <v>109.2181861</v>
      </c>
      <c r="P32" s="123">
        <f>'50% Exceedance Baseline'!P32</f>
        <v>109.6365856</v>
      </c>
      <c r="Q32" s="123">
        <f>'50% Exceedance Baseline'!Q32</f>
        <v>114.7261565</v>
      </c>
      <c r="R32" s="123">
        <f>'50% Exceedance Baseline'!R32</f>
        <v>129.69378159999999</v>
      </c>
      <c r="S32" s="27"/>
      <c r="T32" s="100" t="str">
        <f>'50% Exceedance Baseline'!T32</f>
        <v>Median flow data at S-105 gage (2002-2016)</v>
      </c>
    </row>
    <row r="33" spans="2:26" x14ac:dyDescent="0.25">
      <c r="B33" s="47" t="s">
        <v>36</v>
      </c>
      <c r="C33" s="48">
        <f>C32+C30</f>
        <v>465.58645360000003</v>
      </c>
      <c r="D33" s="48">
        <f t="shared" ref="D33:N33" si="15">D32+D30</f>
        <v>400.7977975</v>
      </c>
      <c r="E33" s="48">
        <f t="shared" si="15"/>
        <v>384.0911236</v>
      </c>
      <c r="F33" s="48">
        <f t="shared" si="15"/>
        <v>255.40185410000001</v>
      </c>
      <c r="G33" s="48">
        <f t="shared" si="15"/>
        <v>222.05114710000001</v>
      </c>
      <c r="H33" s="48">
        <f t="shared" si="15"/>
        <v>174.01549539999999</v>
      </c>
      <c r="I33" s="48">
        <f t="shared" si="15"/>
        <v>129.09329529999999</v>
      </c>
      <c r="J33" s="48">
        <f t="shared" si="15"/>
        <v>108.3017935</v>
      </c>
      <c r="K33" s="48">
        <f t="shared" si="15"/>
        <v>101.39001709999999</v>
      </c>
      <c r="L33" s="48">
        <f t="shared" si="15"/>
        <v>99.097356379999994</v>
      </c>
      <c r="M33" s="48">
        <f t="shared" si="15"/>
        <v>100.5550496</v>
      </c>
      <c r="N33" s="48">
        <f t="shared" si="15"/>
        <v>105.2754585</v>
      </c>
      <c r="O33" s="48">
        <f>O32+O30</f>
        <v>109.2181861</v>
      </c>
      <c r="P33" s="48">
        <f>P32+P30</f>
        <v>109.6365856</v>
      </c>
      <c r="Q33" s="48">
        <f>Q32+Q30</f>
        <v>114.7261565</v>
      </c>
      <c r="R33" s="49">
        <f>R32+R30</f>
        <v>129.69378159999999</v>
      </c>
      <c r="S33" s="111"/>
      <c r="T33" s="100" t="str">
        <f>'50% Exceedance Baseline'!T33</f>
        <v>Flow gage data plus cumulative inputs adjusted for streambed loss or gain</v>
      </c>
    </row>
    <row r="34" spans="2:26" s="4" customFormat="1" x14ac:dyDescent="0.25">
      <c r="B34" s="10" t="s">
        <v>8</v>
      </c>
      <c r="C34" s="8">
        <f>$C$16</f>
        <v>150</v>
      </c>
      <c r="D34" s="8">
        <f>$D$16</f>
        <v>150</v>
      </c>
      <c r="E34" s="8">
        <f>$E$16</f>
        <v>150</v>
      </c>
      <c r="F34" s="8">
        <f>$F$16</f>
        <v>150</v>
      </c>
      <c r="G34" s="8">
        <f>$G$16</f>
        <v>150</v>
      </c>
      <c r="H34" s="8">
        <f>$H$16</f>
        <v>100</v>
      </c>
      <c r="I34" s="8">
        <f>$I$16</f>
        <v>65</v>
      </c>
      <c r="J34" s="8">
        <f>$J$16</f>
        <v>65</v>
      </c>
      <c r="K34" s="8">
        <f>$K$16</f>
        <v>65</v>
      </c>
      <c r="L34" s="8">
        <f>$L$16</f>
        <v>65</v>
      </c>
      <c r="M34" s="8">
        <f>$M$16</f>
        <v>65</v>
      </c>
      <c r="N34" s="8">
        <f>$N$16</f>
        <v>65</v>
      </c>
      <c r="O34" s="8">
        <f>$O$16</f>
        <v>65</v>
      </c>
      <c r="P34" s="8">
        <f>$P$16</f>
        <v>65</v>
      </c>
      <c r="Q34" s="8">
        <f>$Q$16</f>
        <v>65</v>
      </c>
      <c r="R34" s="9">
        <f>$R$16</f>
        <v>65</v>
      </c>
      <c r="S34" s="112"/>
      <c r="T34" s="100" t="str">
        <f>'50% Exceedance Baseline'!T34</f>
        <v>Target flows</v>
      </c>
      <c r="U34" s="155"/>
    </row>
    <row r="35" spans="2:26" s="4" customFormat="1" ht="15.75" thickBot="1" x14ac:dyDescent="0.3">
      <c r="B35" s="37" t="s">
        <v>9</v>
      </c>
      <c r="C35" s="38">
        <f>IF(C33&gt;C34,0,(C34-C33)*-1)</f>
        <v>0</v>
      </c>
      <c r="D35" s="38">
        <f t="shared" ref="D35:N35" si="16">IF(D33&gt;D34,0,(D34-D33)*-1)</f>
        <v>0</v>
      </c>
      <c r="E35" s="38">
        <f t="shared" si="16"/>
        <v>0</v>
      </c>
      <c r="F35" s="38">
        <f t="shared" si="16"/>
        <v>0</v>
      </c>
      <c r="G35" s="38">
        <f t="shared" si="16"/>
        <v>0</v>
      </c>
      <c r="H35" s="38">
        <f t="shared" si="16"/>
        <v>0</v>
      </c>
      <c r="I35" s="38">
        <f t="shared" si="16"/>
        <v>0</v>
      </c>
      <c r="J35" s="38">
        <f t="shared" si="16"/>
        <v>0</v>
      </c>
      <c r="K35" s="38">
        <f t="shared" si="16"/>
        <v>0</v>
      </c>
      <c r="L35" s="38">
        <f t="shared" si="16"/>
        <v>0</v>
      </c>
      <c r="M35" s="38">
        <f t="shared" si="16"/>
        <v>0</v>
      </c>
      <c r="N35" s="38">
        <f t="shared" si="16"/>
        <v>0</v>
      </c>
      <c r="O35" s="38">
        <f>IF(O33&gt;O34,0,(O34-O33)*-1)</f>
        <v>0</v>
      </c>
      <c r="P35" s="38">
        <f>IF(P33&gt;P34,0,(P34-P33)*-1)</f>
        <v>0</v>
      </c>
      <c r="Q35" s="38">
        <f>IF(Q33&gt;Q34,0,(Q34-Q33)*-1)</f>
        <v>0</v>
      </c>
      <c r="R35" s="39">
        <f>IF(R33&gt;R34,0,(R34-R33)*-1)</f>
        <v>0</v>
      </c>
      <c r="S35" s="105"/>
      <c r="T35" s="100" t="str">
        <f>'50% Exceedance Baseline'!T35</f>
        <v>Deficit between target flows and flow gage data plus total adjusted inputs</v>
      </c>
      <c r="U35" s="155"/>
    </row>
    <row r="36" spans="2:26" s="4" customFormat="1" x14ac:dyDescent="0.25">
      <c r="B36" s="3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18"/>
      <c r="T36" s="100"/>
      <c r="U36" s="155"/>
    </row>
    <row r="37" spans="2:26" s="4" customFormat="1" x14ac:dyDescent="0.25">
      <c r="B37" s="85" t="s">
        <v>1</v>
      </c>
      <c r="C37" s="8">
        <f>'50% Exceedance Baseline'!C37</f>
        <v>87</v>
      </c>
      <c r="D37" s="8">
        <f>'50% Exceedance Baseline'!D37</f>
        <v>92</v>
      </c>
      <c r="E37" s="8">
        <f>'50% Exceedance Baseline'!E37</f>
        <v>97</v>
      </c>
      <c r="F37" s="8">
        <f>'50% Exceedance Baseline'!F37</f>
        <v>101</v>
      </c>
      <c r="G37" s="8">
        <f>'50% Exceedance Baseline'!G37</f>
        <v>103</v>
      </c>
      <c r="H37" s="8">
        <f>'50% Exceedance Baseline'!H37</f>
        <v>100</v>
      </c>
      <c r="I37" s="8">
        <f>'50% Exceedance Baseline'!I37</f>
        <v>85</v>
      </c>
      <c r="J37" s="8">
        <f>'50% Exceedance Baseline'!J37</f>
        <v>68</v>
      </c>
      <c r="K37" s="8">
        <f>'50% Exceedance Baseline'!K37</f>
        <v>59</v>
      </c>
      <c r="L37" s="8">
        <f>'50% Exceedance Baseline'!L37</f>
        <v>60</v>
      </c>
      <c r="M37" s="8">
        <f>'50% Exceedance Baseline'!M37</f>
        <v>62</v>
      </c>
      <c r="N37" s="8">
        <f>'50% Exceedance Baseline'!N37</f>
        <v>64</v>
      </c>
      <c r="O37" s="8">
        <f>'50% Exceedance Baseline'!O37</f>
        <v>69</v>
      </c>
      <c r="P37" s="8">
        <f>'50% Exceedance Baseline'!P37</f>
        <v>70</v>
      </c>
      <c r="Q37" s="8">
        <f>'50% Exceedance Baseline'!Q37</f>
        <v>60</v>
      </c>
      <c r="R37" s="8">
        <f>'50% Exceedance Baseline'!R37</f>
        <v>60</v>
      </c>
      <c r="S37" s="112"/>
      <c r="T37" s="100"/>
      <c r="U37" s="155"/>
    </row>
    <row r="38" spans="2:26" s="4" customFormat="1" x14ac:dyDescent="0.25">
      <c r="B38" s="85" t="s">
        <v>0</v>
      </c>
      <c r="C38" s="8">
        <f>'50% Exceedance Baseline'!C38</f>
        <v>5</v>
      </c>
      <c r="D38" s="8">
        <f>'50% Exceedance Baseline'!D38</f>
        <v>5</v>
      </c>
      <c r="E38" s="8">
        <f>'50% Exceedance Baseline'!E38</f>
        <v>5</v>
      </c>
      <c r="F38" s="8">
        <f>'50% Exceedance Baseline'!F38</f>
        <v>5</v>
      </c>
      <c r="G38" s="8">
        <f>'50% Exceedance Baseline'!G38</f>
        <v>5</v>
      </c>
      <c r="H38" s="8">
        <f>'50% Exceedance Baseline'!H38</f>
        <v>5</v>
      </c>
      <c r="I38" s="8">
        <f>'50% Exceedance Baseline'!I38</f>
        <v>5</v>
      </c>
      <c r="J38" s="8">
        <f>'50% Exceedance Baseline'!J38</f>
        <v>5</v>
      </c>
      <c r="K38" s="8">
        <f>'50% Exceedance Baseline'!K38</f>
        <v>5</v>
      </c>
      <c r="L38" s="8">
        <f>'50% Exceedance Baseline'!L38</f>
        <v>5</v>
      </c>
      <c r="M38" s="8">
        <f>'50% Exceedance Baseline'!M38</f>
        <v>5</v>
      </c>
      <c r="N38" s="8">
        <f>'50% Exceedance Baseline'!N38</f>
        <v>5</v>
      </c>
      <c r="O38" s="8">
        <f>'50% Exceedance Baseline'!O38</f>
        <v>5</v>
      </c>
      <c r="P38" s="8">
        <f>'50% Exceedance Baseline'!P38</f>
        <v>5</v>
      </c>
      <c r="Q38" s="8">
        <f>'50% Exceedance Baseline'!Q38</f>
        <v>0</v>
      </c>
      <c r="R38" s="8">
        <f>'50% Exceedance Baseline'!R38</f>
        <v>0</v>
      </c>
      <c r="S38" s="112"/>
      <c r="T38" s="100"/>
      <c r="U38" s="155"/>
    </row>
    <row r="39" spans="2:26" s="4" customFormat="1" x14ac:dyDescent="0.25">
      <c r="B39" s="86" t="s">
        <v>4</v>
      </c>
      <c r="C39" s="8">
        <f t="shared" ref="C39:R39" si="17">C37+C38</f>
        <v>92</v>
      </c>
      <c r="D39" s="8">
        <f t="shared" si="17"/>
        <v>97</v>
      </c>
      <c r="E39" s="8">
        <f t="shared" si="17"/>
        <v>102</v>
      </c>
      <c r="F39" s="8">
        <f t="shared" si="17"/>
        <v>106</v>
      </c>
      <c r="G39" s="8">
        <f t="shared" si="17"/>
        <v>108</v>
      </c>
      <c r="H39" s="8">
        <f t="shared" si="17"/>
        <v>105</v>
      </c>
      <c r="I39" s="8">
        <f t="shared" si="17"/>
        <v>90</v>
      </c>
      <c r="J39" s="8">
        <f t="shared" si="17"/>
        <v>73</v>
      </c>
      <c r="K39" s="8">
        <f t="shared" si="17"/>
        <v>64</v>
      </c>
      <c r="L39" s="8">
        <f t="shared" si="17"/>
        <v>65</v>
      </c>
      <c r="M39" s="8">
        <f t="shared" si="17"/>
        <v>67</v>
      </c>
      <c r="N39" s="8">
        <f t="shared" si="17"/>
        <v>69</v>
      </c>
      <c r="O39" s="8">
        <f t="shared" si="17"/>
        <v>74</v>
      </c>
      <c r="P39" s="8">
        <f t="shared" si="17"/>
        <v>75</v>
      </c>
      <c r="Q39" s="8">
        <f t="shared" si="17"/>
        <v>60</v>
      </c>
      <c r="R39" s="8">
        <f t="shared" si="17"/>
        <v>60</v>
      </c>
      <c r="S39" s="112"/>
      <c r="T39" s="100"/>
      <c r="U39" s="155"/>
    </row>
    <row r="40" spans="2:26" s="4" customFormat="1" x14ac:dyDescent="0.25">
      <c r="B40" s="86" t="s">
        <v>133</v>
      </c>
      <c r="C40" s="152">
        <f>C32-C34</f>
        <v>315.58645360000003</v>
      </c>
      <c r="D40" s="152">
        <f t="shared" ref="D40:R40" si="18">D32-D34</f>
        <v>250.7977975</v>
      </c>
      <c r="E40" s="152">
        <f t="shared" si="18"/>
        <v>234.0911236</v>
      </c>
      <c r="F40" s="152">
        <f t="shared" si="18"/>
        <v>105.40185410000001</v>
      </c>
      <c r="G40" s="152">
        <f>G32-G34</f>
        <v>72.051147100000009</v>
      </c>
      <c r="H40" s="152">
        <f t="shared" si="18"/>
        <v>74.015495399999992</v>
      </c>
      <c r="I40" s="152">
        <f t="shared" si="18"/>
        <v>64.093295299999994</v>
      </c>
      <c r="J40" s="152">
        <f t="shared" si="18"/>
        <v>43.301793500000002</v>
      </c>
      <c r="K40" s="152">
        <f t="shared" si="18"/>
        <v>36.390017099999994</v>
      </c>
      <c r="L40" s="152">
        <f t="shared" si="18"/>
        <v>34.097356379999994</v>
      </c>
      <c r="M40" s="152">
        <f t="shared" si="18"/>
        <v>35.555049600000004</v>
      </c>
      <c r="N40" s="152">
        <f t="shared" si="18"/>
        <v>40.275458499999999</v>
      </c>
      <c r="O40" s="152">
        <f t="shared" si="18"/>
        <v>44.218186099999997</v>
      </c>
      <c r="P40" s="152">
        <f t="shared" si="18"/>
        <v>44.636585600000004</v>
      </c>
      <c r="Q40" s="152">
        <f t="shared" si="18"/>
        <v>49.726156500000002</v>
      </c>
      <c r="R40" s="152">
        <f t="shared" si="18"/>
        <v>64.693781599999994</v>
      </c>
      <c r="S40" s="112"/>
      <c r="T40" s="100"/>
      <c r="U40" s="155"/>
    </row>
    <row r="41" spans="2:26" ht="15.75" thickBot="1" x14ac:dyDescent="0.3">
      <c r="B41" s="59" t="s">
        <v>64</v>
      </c>
      <c r="C41" s="3">
        <f>IF(C42&gt;0,10,0)</f>
        <v>0</v>
      </c>
      <c r="D41" s="3">
        <f t="shared" ref="D41:J41" si="19">IF(D42&gt;0,10,0)</f>
        <v>0</v>
      </c>
      <c r="E41" s="3">
        <f t="shared" si="19"/>
        <v>0</v>
      </c>
      <c r="F41" s="3">
        <f t="shared" si="19"/>
        <v>10</v>
      </c>
      <c r="G41" s="3">
        <f t="shared" si="19"/>
        <v>10</v>
      </c>
      <c r="H41" s="3">
        <f t="shared" si="19"/>
        <v>10</v>
      </c>
      <c r="I41" s="3">
        <f t="shared" si="19"/>
        <v>10</v>
      </c>
      <c r="J41" s="3">
        <f t="shared" si="19"/>
        <v>10</v>
      </c>
      <c r="K41" s="3">
        <f>IF(K42&gt;0,7,0)</f>
        <v>7</v>
      </c>
      <c r="L41" s="3">
        <f t="shared" ref="L41:R41" si="20">IF(L42&gt;0,7,0)</f>
        <v>7</v>
      </c>
      <c r="M41" s="3">
        <f t="shared" si="20"/>
        <v>7</v>
      </c>
      <c r="N41" s="3">
        <f t="shared" si="20"/>
        <v>7</v>
      </c>
      <c r="O41" s="3">
        <f t="shared" si="20"/>
        <v>7</v>
      </c>
      <c r="P41" s="3">
        <f t="shared" si="20"/>
        <v>7</v>
      </c>
      <c r="Q41" s="3">
        <f t="shared" si="20"/>
        <v>7</v>
      </c>
      <c r="R41" s="3">
        <f t="shared" si="20"/>
        <v>7</v>
      </c>
      <c r="T41" s="101" t="s">
        <v>118</v>
      </c>
      <c r="U41" s="139">
        <f>SUM(C41:R41)*15*1.9835</f>
        <v>3153.7649999999999</v>
      </c>
      <c r="V41" s="11" t="s">
        <v>123</v>
      </c>
      <c r="W41" s="11"/>
      <c r="X41" s="11"/>
      <c r="Y41" s="11"/>
    </row>
    <row r="42" spans="2:26" s="30" customFormat="1" ht="15.75" thickBot="1" x14ac:dyDescent="0.3">
      <c r="B42" s="72" t="s">
        <v>112</v>
      </c>
      <c r="C42" s="46">
        <v>0</v>
      </c>
      <c r="D42" s="46">
        <v>0</v>
      </c>
      <c r="E42" s="46">
        <v>0</v>
      </c>
      <c r="F42" s="46">
        <v>41</v>
      </c>
      <c r="G42" s="46">
        <v>108</v>
      </c>
      <c r="H42" s="46">
        <v>85</v>
      </c>
      <c r="I42" s="46">
        <v>71</v>
      </c>
      <c r="J42" s="46">
        <v>70</v>
      </c>
      <c r="K42" s="46">
        <v>64</v>
      </c>
      <c r="L42" s="46">
        <v>65</v>
      </c>
      <c r="M42" s="46">
        <v>67</v>
      </c>
      <c r="N42" s="46">
        <v>68</v>
      </c>
      <c r="O42" s="46">
        <v>50</v>
      </c>
      <c r="P42" s="46">
        <v>52</v>
      </c>
      <c r="Q42" s="46">
        <v>38</v>
      </c>
      <c r="R42" s="46">
        <v>27</v>
      </c>
      <c r="S42" s="105"/>
      <c r="T42" s="100" t="str">
        <f>'50% Exceedance Baseline'!T42</f>
        <v>Flow input between Mgt. Pt. 1 and Mgt. Pt. 2</v>
      </c>
      <c r="U42" s="29"/>
    </row>
    <row r="43" spans="2:26" s="128" customFormat="1" x14ac:dyDescent="0.25">
      <c r="B43" s="79" t="s">
        <v>7</v>
      </c>
      <c r="C43" s="16">
        <f>IF(C57&gt;C56,((C57-C56)*-1),((C56-C57)))</f>
        <v>129.75</v>
      </c>
      <c r="D43" s="16">
        <f t="shared" ref="D43:E43" si="21">IF(D57&gt;D56,((D57-D56)*-1),((D56-D57)))</f>
        <v>77.25</v>
      </c>
      <c r="E43" s="16">
        <f t="shared" si="21"/>
        <v>61.5</v>
      </c>
      <c r="F43" s="16">
        <f>IF(F57&gt;F56,((F57-F56)*-1),((F56-F57)))</f>
        <v>0.28999999999999204</v>
      </c>
      <c r="G43" s="16">
        <f>IF(G57&gt;G56,((G57-G56)*-1),((G56-G57)))</f>
        <v>16.853425469999991</v>
      </c>
      <c r="H43" s="16">
        <f t="shared" ref="H43:R43" si="22">IF(H57&gt;H56,((H57-H56)*-1),((H56-H57)))</f>
        <v>16.414954629999983</v>
      </c>
      <c r="I43" s="16">
        <f t="shared" si="22"/>
        <v>27.687835520000007</v>
      </c>
      <c r="J43" s="16">
        <f t="shared" si="22"/>
        <v>27.062286459999996</v>
      </c>
      <c r="K43" s="16">
        <f t="shared" si="22"/>
        <v>31.221497110000001</v>
      </c>
      <c r="L43" s="16">
        <f t="shared" si="22"/>
        <v>32.611113110000005</v>
      </c>
      <c r="M43" s="16">
        <f t="shared" si="22"/>
        <v>25.962395839999999</v>
      </c>
      <c r="N43" s="16">
        <f t="shared" si="22"/>
        <v>24.584833339999989</v>
      </c>
      <c r="O43" s="16">
        <f t="shared" si="22"/>
        <v>18.97338542</v>
      </c>
      <c r="P43" s="16">
        <f t="shared" si="22"/>
        <v>25.380871490000004</v>
      </c>
      <c r="Q43" s="16">
        <f t="shared" si="22"/>
        <v>20.230371560000009</v>
      </c>
      <c r="R43" s="14">
        <f t="shared" si="22"/>
        <v>27.957124999999991</v>
      </c>
      <c r="S43" s="18"/>
      <c r="T43" s="100" t="str">
        <f>'50% Exceedance Baseline'!T43</f>
        <v>Flow target surplus or deficit after input</v>
      </c>
      <c r="U43" s="127"/>
      <c r="Z43" s="129"/>
    </row>
    <row r="44" spans="2:26" s="5" customFormat="1" ht="15.75" thickBot="1" x14ac:dyDescent="0.3">
      <c r="B44" s="135" t="s">
        <v>115</v>
      </c>
      <c r="C44" s="136">
        <f t="shared" ref="C44:R44" si="23">C42*15*1.9835</f>
        <v>0</v>
      </c>
      <c r="D44" s="136">
        <f t="shared" si="23"/>
        <v>0</v>
      </c>
      <c r="E44" s="136">
        <f t="shared" si="23"/>
        <v>0</v>
      </c>
      <c r="F44" s="136">
        <f>F42*15*1.9835</f>
        <v>1219.8525</v>
      </c>
      <c r="G44" s="136">
        <f>G42*15*1.9835</f>
        <v>3213.27</v>
      </c>
      <c r="H44" s="136">
        <f t="shared" si="23"/>
        <v>2528.9625000000001</v>
      </c>
      <c r="I44" s="136">
        <f t="shared" si="23"/>
        <v>2112.4275000000002</v>
      </c>
      <c r="J44" s="136">
        <f t="shared" si="23"/>
        <v>2082.6750000000002</v>
      </c>
      <c r="K44" s="136">
        <f t="shared" si="23"/>
        <v>1904.16</v>
      </c>
      <c r="L44" s="136">
        <f t="shared" si="23"/>
        <v>1933.9125000000001</v>
      </c>
      <c r="M44" s="136">
        <f t="shared" si="23"/>
        <v>1993.4175</v>
      </c>
      <c r="N44" s="136">
        <f t="shared" si="23"/>
        <v>2023.17</v>
      </c>
      <c r="O44" s="136">
        <f t="shared" si="23"/>
        <v>1487.625</v>
      </c>
      <c r="P44" s="136">
        <f t="shared" si="23"/>
        <v>1547.13</v>
      </c>
      <c r="Q44" s="136">
        <f t="shared" si="23"/>
        <v>1130.595</v>
      </c>
      <c r="R44" s="137">
        <f t="shared" si="23"/>
        <v>803.3175</v>
      </c>
      <c r="S44" s="18"/>
      <c r="T44" s="101" t="s">
        <v>118</v>
      </c>
      <c r="U44" s="139">
        <f>SUM(C44:R44)</f>
        <v>23980.515000000007</v>
      </c>
    </row>
    <row r="45" spans="2:26" ht="15.75" thickBot="1" x14ac:dyDescent="0.3">
      <c r="B45" s="73" t="s">
        <v>126</v>
      </c>
      <c r="C45" s="46">
        <v>0</v>
      </c>
      <c r="D45" s="46">
        <v>0</v>
      </c>
      <c r="E45" s="46">
        <v>0</v>
      </c>
      <c r="F45" s="46">
        <v>0</v>
      </c>
      <c r="G45" s="46">
        <v>31</v>
      </c>
      <c r="H45" s="46">
        <v>0</v>
      </c>
      <c r="I45" s="46">
        <v>0</v>
      </c>
      <c r="J45" s="46">
        <v>0</v>
      </c>
      <c r="K45" s="46">
        <v>7</v>
      </c>
      <c r="L45" s="46">
        <v>9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105"/>
      <c r="T45" s="100" t="str">
        <f>'50% Exceedance Baseline'!T45</f>
        <v>Flow input between Mgt. Pt. 1 and Mgt. Pt. 2</v>
      </c>
    </row>
    <row r="46" spans="2:26" s="12" customFormat="1" x14ac:dyDescent="0.25">
      <c r="B46" s="79" t="s">
        <v>7</v>
      </c>
      <c r="C46" s="16">
        <f>IF(C57&gt;C56,((C57-C56)*-1),((C56-C57)))</f>
        <v>129.75</v>
      </c>
      <c r="D46" s="16">
        <f t="shared" ref="D46:R46" si="24">IF(D57&gt;D56,((D57-D56)*-1),((D56-D57)))</f>
        <v>77.25</v>
      </c>
      <c r="E46" s="16">
        <f t="shared" si="24"/>
        <v>61.5</v>
      </c>
      <c r="F46" s="16">
        <f t="shared" si="24"/>
        <v>0.28999999999999204</v>
      </c>
      <c r="G46" s="16">
        <f t="shared" si="24"/>
        <v>16.853425469999991</v>
      </c>
      <c r="H46" s="16">
        <f t="shared" si="24"/>
        <v>16.414954629999983</v>
      </c>
      <c r="I46" s="16">
        <f t="shared" si="24"/>
        <v>27.687835520000007</v>
      </c>
      <c r="J46" s="16">
        <f t="shared" si="24"/>
        <v>27.062286459999996</v>
      </c>
      <c r="K46" s="16">
        <f t="shared" si="24"/>
        <v>31.221497110000001</v>
      </c>
      <c r="L46" s="16">
        <f t="shared" si="24"/>
        <v>32.611113110000005</v>
      </c>
      <c r="M46" s="16">
        <f t="shared" si="24"/>
        <v>25.962395839999999</v>
      </c>
      <c r="N46" s="16">
        <f t="shared" si="24"/>
        <v>24.584833339999989</v>
      </c>
      <c r="O46" s="16">
        <f t="shared" si="24"/>
        <v>18.97338542</v>
      </c>
      <c r="P46" s="16">
        <f t="shared" si="24"/>
        <v>25.380871490000004</v>
      </c>
      <c r="Q46" s="16">
        <f t="shared" si="24"/>
        <v>20.230371560000009</v>
      </c>
      <c r="R46" s="14">
        <f t="shared" si="24"/>
        <v>27.957124999999991</v>
      </c>
      <c r="S46" s="18"/>
      <c r="T46" s="100" t="str">
        <f>'50% Exceedance Baseline'!T46</f>
        <v>Flow target surplus or deficit after input</v>
      </c>
      <c r="U46" s="13"/>
    </row>
    <row r="47" spans="2:26" s="138" customFormat="1" ht="15.75" thickBot="1" x14ac:dyDescent="0.3">
      <c r="B47" s="135" t="s">
        <v>115</v>
      </c>
      <c r="C47" s="136">
        <f t="shared" ref="C47:R47" si="25">C45*15*1.9835</f>
        <v>0</v>
      </c>
      <c r="D47" s="136">
        <f t="shared" si="25"/>
        <v>0</v>
      </c>
      <c r="E47" s="136">
        <f t="shared" si="25"/>
        <v>0</v>
      </c>
      <c r="F47" s="136">
        <f t="shared" si="25"/>
        <v>0</v>
      </c>
      <c r="G47" s="136">
        <f>G45*15*1.9835</f>
        <v>922.32749999999999</v>
      </c>
      <c r="H47" s="136">
        <f t="shared" si="25"/>
        <v>0</v>
      </c>
      <c r="I47" s="136">
        <f t="shared" si="25"/>
        <v>0</v>
      </c>
      <c r="J47" s="136">
        <f t="shared" si="25"/>
        <v>0</v>
      </c>
      <c r="K47" s="136">
        <f t="shared" si="25"/>
        <v>208.26750000000001</v>
      </c>
      <c r="L47" s="136">
        <f t="shared" si="25"/>
        <v>267.77249999999998</v>
      </c>
      <c r="M47" s="136">
        <f t="shared" si="25"/>
        <v>0</v>
      </c>
      <c r="N47" s="136">
        <f t="shared" si="25"/>
        <v>0</v>
      </c>
      <c r="O47" s="136">
        <f t="shared" si="25"/>
        <v>0</v>
      </c>
      <c r="P47" s="136">
        <f t="shared" si="25"/>
        <v>0</v>
      </c>
      <c r="Q47" s="136">
        <f t="shared" si="25"/>
        <v>0</v>
      </c>
      <c r="R47" s="137">
        <f t="shared" si="25"/>
        <v>0</v>
      </c>
      <c r="S47" s="136"/>
      <c r="T47" s="101" t="s">
        <v>118</v>
      </c>
      <c r="U47" s="139">
        <f>SUM(C47:R47)</f>
        <v>1398.3675000000001</v>
      </c>
    </row>
    <row r="48" spans="2:26" ht="15.75" thickBot="1" x14ac:dyDescent="0.3">
      <c r="B48" s="73" t="s">
        <v>60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121">
        <v>0</v>
      </c>
      <c r="R48" s="46">
        <v>0</v>
      </c>
      <c r="S48" s="105"/>
      <c r="T48" s="100" t="str">
        <f>'50% Exceedance Baseline'!T48</f>
        <v>Flow input between Mgt. Pt. 1 and Mgt. Pt. 2</v>
      </c>
    </row>
    <row r="49" spans="2:21" x14ac:dyDescent="0.25">
      <c r="B49" s="79" t="s">
        <v>7</v>
      </c>
      <c r="C49" s="16">
        <f>IF(C57&gt;C56,((C57-C56)*-1),((C56-C57)))</f>
        <v>129.75</v>
      </c>
      <c r="D49" s="16">
        <f t="shared" ref="D49:R49" si="26">IF(D57&gt;D56,((D57-D56)*-1),((D56-D57)))</f>
        <v>77.25</v>
      </c>
      <c r="E49" s="16">
        <f t="shared" si="26"/>
        <v>61.5</v>
      </c>
      <c r="F49" s="16">
        <f t="shared" si="26"/>
        <v>0.28999999999999204</v>
      </c>
      <c r="G49" s="16">
        <f t="shared" si="26"/>
        <v>16.853425469999991</v>
      </c>
      <c r="H49" s="16">
        <f t="shared" si="26"/>
        <v>16.414954629999983</v>
      </c>
      <c r="I49" s="16">
        <f t="shared" si="26"/>
        <v>27.687835520000007</v>
      </c>
      <c r="J49" s="16">
        <f t="shared" si="26"/>
        <v>27.062286459999996</v>
      </c>
      <c r="K49" s="16">
        <f t="shared" si="26"/>
        <v>31.221497110000001</v>
      </c>
      <c r="L49" s="16">
        <f t="shared" si="26"/>
        <v>32.611113110000005</v>
      </c>
      <c r="M49" s="16">
        <f t="shared" si="26"/>
        <v>25.962395839999999</v>
      </c>
      <c r="N49" s="16">
        <f t="shared" si="26"/>
        <v>24.584833339999989</v>
      </c>
      <c r="O49" s="16">
        <f t="shared" si="26"/>
        <v>18.97338542</v>
      </c>
      <c r="P49" s="16">
        <f t="shared" si="26"/>
        <v>25.380871490000004</v>
      </c>
      <c r="Q49" s="16">
        <f t="shared" si="26"/>
        <v>20.230371560000009</v>
      </c>
      <c r="R49" s="14">
        <f t="shared" si="26"/>
        <v>27.957124999999991</v>
      </c>
      <c r="S49" s="18"/>
      <c r="T49" s="100" t="str">
        <f>'50% Exceedance Baseline'!T49</f>
        <v>Flow target surplus or deficit after input</v>
      </c>
    </row>
    <row r="50" spans="2:21" x14ac:dyDescent="0.25">
      <c r="B50" s="81" t="s">
        <v>21</v>
      </c>
      <c r="C50" s="18">
        <f t="shared" ref="C50:N50" si="27">SUM(C42+C45+C48)</f>
        <v>0</v>
      </c>
      <c r="D50" s="18">
        <f t="shared" si="27"/>
        <v>0</v>
      </c>
      <c r="E50" s="18">
        <f t="shared" si="27"/>
        <v>0</v>
      </c>
      <c r="F50" s="18">
        <f t="shared" si="27"/>
        <v>41</v>
      </c>
      <c r="G50" s="18">
        <f>SUM(G42+G45+G48)</f>
        <v>139</v>
      </c>
      <c r="H50" s="18">
        <f t="shared" si="27"/>
        <v>85</v>
      </c>
      <c r="I50" s="18">
        <f t="shared" si="27"/>
        <v>71</v>
      </c>
      <c r="J50" s="18">
        <f t="shared" si="27"/>
        <v>70</v>
      </c>
      <c r="K50" s="18">
        <f t="shared" si="27"/>
        <v>71</v>
      </c>
      <c r="L50" s="18">
        <f t="shared" si="27"/>
        <v>74</v>
      </c>
      <c r="M50" s="18">
        <f t="shared" si="27"/>
        <v>67</v>
      </c>
      <c r="N50" s="18">
        <f t="shared" si="27"/>
        <v>68</v>
      </c>
      <c r="O50" s="18">
        <f>SUM(O42+O45+O48)</f>
        <v>50</v>
      </c>
      <c r="P50" s="18">
        <f>SUM(P42+P45+P48)</f>
        <v>52</v>
      </c>
      <c r="Q50" s="18">
        <f>SUM(Q42+Q45+Q48)</f>
        <v>38</v>
      </c>
      <c r="R50" s="17">
        <f>SUM(R42+R45+R48)</f>
        <v>27</v>
      </c>
      <c r="S50" s="18"/>
      <c r="T50" s="100" t="str">
        <f>'50% Exceedance Baseline'!T50</f>
        <v>Subtotal of all inputs in Milton-Freewater to Nursery Bridge reach</v>
      </c>
    </row>
    <row r="51" spans="2:21" ht="15.75" thickBot="1" x14ac:dyDescent="0.3">
      <c r="B51" s="80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7"/>
      <c r="S51" s="18"/>
    </row>
    <row r="52" spans="2:21" s="64" customFormat="1" ht="15.75" thickBot="1" x14ac:dyDescent="0.3">
      <c r="B52" s="70" t="s">
        <v>69</v>
      </c>
      <c r="C52" s="69">
        <f>'50% Exceedance Baseline'!C52</f>
        <v>-0.06</v>
      </c>
      <c r="D52" s="69">
        <f>'50% Exceedance Baseline'!D52</f>
        <v>-0.06</v>
      </c>
      <c r="E52" s="69">
        <f>'50% Exceedance Baseline'!E52</f>
        <v>-0.06</v>
      </c>
      <c r="F52" s="69">
        <f>'50% Exceedance Baseline'!F52</f>
        <v>-0.06</v>
      </c>
      <c r="G52" s="69">
        <f>'50% Exceedance Baseline'!G52</f>
        <v>-0.06</v>
      </c>
      <c r="H52" s="69">
        <f>'50% Exceedance Baseline'!H52</f>
        <v>-0.06</v>
      </c>
      <c r="I52" s="69">
        <f>'50% Exceedance Baseline'!I52</f>
        <v>-9.9000000000000005E-2</v>
      </c>
      <c r="J52" s="69">
        <f>'50% Exceedance Baseline'!J52</f>
        <v>-9.9000000000000005E-2</v>
      </c>
      <c r="K52" s="69">
        <f>'50% Exceedance Baseline'!K52</f>
        <v>-0.09</v>
      </c>
      <c r="L52" s="69">
        <f>'50% Exceedance Baseline'!L52</f>
        <v>-0.09</v>
      </c>
      <c r="M52" s="69">
        <f>'50% Exceedance Baseline'!M52</f>
        <v>-0.13700000000000001</v>
      </c>
      <c r="N52" s="69">
        <f>'50% Exceedance Baseline'!N52</f>
        <v>-0.13700000000000001</v>
      </c>
      <c r="O52" s="82">
        <f>'50% Exceedance Baseline'!O52</f>
        <v>6.0000000000000001E-3</v>
      </c>
      <c r="P52" s="82">
        <f>'50% Exceedance Baseline'!P52</f>
        <v>6.0000000000000001E-3</v>
      </c>
      <c r="Q52" s="69">
        <f>'50% Exceedance Baseline'!Q52</f>
        <v>-5.8999999999999997E-2</v>
      </c>
      <c r="R52" s="69">
        <f>'50% Exceedance Baseline'!R52</f>
        <v>-5.8999999999999997E-2</v>
      </c>
      <c r="S52" s="107"/>
      <c r="T52" s="100" t="str">
        <f>'50% Exceedance Baseline'!T52</f>
        <v>Percentage total inputs lost or gained due to streambed hydrology (2002-2015 WWBWC seepage data)</v>
      </c>
      <c r="U52" s="83"/>
    </row>
    <row r="53" spans="2:21" x14ac:dyDescent="0.25">
      <c r="B53" s="84" t="s">
        <v>20</v>
      </c>
      <c r="C53" s="57">
        <f t="shared" ref="C53:R53" si="28">SUM(C50+C30)*(1+C52)</f>
        <v>0</v>
      </c>
      <c r="D53" s="57">
        <f t="shared" si="28"/>
        <v>0</v>
      </c>
      <c r="E53" s="57">
        <f t="shared" si="28"/>
        <v>0</v>
      </c>
      <c r="F53" s="57">
        <f t="shared" si="28"/>
        <v>38.54</v>
      </c>
      <c r="G53" s="57">
        <f t="shared" si="28"/>
        <v>130.66</v>
      </c>
      <c r="H53" s="57">
        <f t="shared" si="28"/>
        <v>79.899999999999991</v>
      </c>
      <c r="I53" s="57">
        <f t="shared" si="28"/>
        <v>63.971000000000004</v>
      </c>
      <c r="J53" s="57">
        <f t="shared" si="28"/>
        <v>63.07</v>
      </c>
      <c r="K53" s="57">
        <f t="shared" si="28"/>
        <v>64.61</v>
      </c>
      <c r="L53" s="57">
        <f t="shared" si="28"/>
        <v>67.34</v>
      </c>
      <c r="M53" s="57">
        <f t="shared" si="28"/>
        <v>57.820999999999998</v>
      </c>
      <c r="N53" s="57">
        <f t="shared" si="28"/>
        <v>58.683999999999997</v>
      </c>
      <c r="O53" s="57">
        <f t="shared" si="28"/>
        <v>50.3</v>
      </c>
      <c r="P53" s="57">
        <f t="shared" si="28"/>
        <v>52.311999999999998</v>
      </c>
      <c r="Q53" s="57">
        <f t="shared" si="28"/>
        <v>35.758000000000003</v>
      </c>
      <c r="R53" s="58">
        <f t="shared" si="28"/>
        <v>25.407</v>
      </c>
      <c r="S53" s="110"/>
      <c r="T53" s="100" t="str">
        <f>'50% Exceedance Baseline'!T53</f>
        <v>Total of all upstream input flow adjusted for streambed loss or gain</v>
      </c>
    </row>
    <row r="54" spans="2:21" ht="15.75" thickBot="1" x14ac:dyDescent="0.3">
      <c r="B54" s="7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3"/>
      <c r="S54" s="110"/>
    </row>
    <row r="55" spans="2:21" ht="15.75" thickBot="1" x14ac:dyDescent="0.3">
      <c r="B55" s="24" t="s">
        <v>53</v>
      </c>
      <c r="C55" s="50">
        <f>'50% Exceedance Baseline'!C55</f>
        <v>279.75</v>
      </c>
      <c r="D55" s="50">
        <f>'50% Exceedance Baseline'!D55</f>
        <v>227.25</v>
      </c>
      <c r="E55" s="50">
        <f>'50% Exceedance Baseline'!E55</f>
        <v>211.5</v>
      </c>
      <c r="F55" s="50">
        <f>'50% Exceedance Baseline'!F55</f>
        <v>111.75</v>
      </c>
      <c r="G55" s="132">
        <f>'50% Exceedance Baseline'!G55</f>
        <v>36.193425470000001</v>
      </c>
      <c r="H55" s="132">
        <f>'50% Exceedance Baseline'!H55</f>
        <v>36.514954629999998</v>
      </c>
      <c r="I55" s="132">
        <f>'50% Exceedance Baseline'!I55</f>
        <v>28.71683552</v>
      </c>
      <c r="J55" s="132">
        <f>'50% Exceedance Baseline'!J55</f>
        <v>28.992286459999999</v>
      </c>
      <c r="K55" s="132">
        <f>'50% Exceedance Baseline'!K55</f>
        <v>31.611497109999998</v>
      </c>
      <c r="L55" s="132">
        <f>'50% Exceedance Baseline'!L55</f>
        <v>30.271113110000002</v>
      </c>
      <c r="M55" s="132">
        <f>'50% Exceedance Baseline'!M55</f>
        <v>33.141395840000001</v>
      </c>
      <c r="N55" s="132">
        <f>'50% Exceedance Baseline'!N55</f>
        <v>30.900833339999998</v>
      </c>
      <c r="O55" s="132">
        <f>'50% Exceedance Baseline'!O55</f>
        <v>33.673385420000002</v>
      </c>
      <c r="P55" s="132">
        <f>'50% Exceedance Baseline'!P55</f>
        <v>38.068871489999999</v>
      </c>
      <c r="Q55" s="132">
        <f>'50% Exceedance Baseline'!Q55</f>
        <v>49.472371559999999</v>
      </c>
      <c r="R55" s="132">
        <f>'50% Exceedance Baseline'!R55</f>
        <v>67.550124999999994</v>
      </c>
      <c r="S55" s="19"/>
      <c r="T55" s="100" t="str">
        <f>'50% Exceedance Baseline'!T55</f>
        <v>Median flow data at S-106 gage (2002-2016; April - May estimated)</v>
      </c>
    </row>
    <row r="56" spans="2:21" x14ac:dyDescent="0.25">
      <c r="B56" s="47" t="s">
        <v>37</v>
      </c>
      <c r="C56" s="48">
        <f>C55+C53</f>
        <v>279.75</v>
      </c>
      <c r="D56" s="48">
        <f t="shared" ref="D56:E56" si="29">D55+D53</f>
        <v>227.25</v>
      </c>
      <c r="E56" s="48">
        <f t="shared" si="29"/>
        <v>211.5</v>
      </c>
      <c r="F56" s="48">
        <f>F55+F53</f>
        <v>150.29</v>
      </c>
      <c r="G56" s="48">
        <f>G55+G53</f>
        <v>166.85342546999999</v>
      </c>
      <c r="H56" s="48">
        <f t="shared" ref="H56" si="30">H55+H53</f>
        <v>116.41495462999998</v>
      </c>
      <c r="I56" s="48">
        <f>I55+I53</f>
        <v>92.687835520000007</v>
      </c>
      <c r="J56" s="48">
        <f t="shared" ref="J56:N56" si="31">J55+J53</f>
        <v>92.062286459999996</v>
      </c>
      <c r="K56" s="48">
        <f t="shared" si="31"/>
        <v>96.221497110000001</v>
      </c>
      <c r="L56" s="48">
        <f t="shared" si="31"/>
        <v>97.611113110000005</v>
      </c>
      <c r="M56" s="48">
        <f t="shared" si="31"/>
        <v>90.962395839999999</v>
      </c>
      <c r="N56" s="48">
        <f t="shared" si="31"/>
        <v>89.584833339999989</v>
      </c>
      <c r="O56" s="48">
        <f>O55+O53</f>
        <v>83.97338542</v>
      </c>
      <c r="P56" s="48">
        <f>P55+P53</f>
        <v>90.380871490000004</v>
      </c>
      <c r="Q56" s="48">
        <f>Q55+Q53</f>
        <v>85.230371560000009</v>
      </c>
      <c r="R56" s="49">
        <f>R55+R53</f>
        <v>92.957124999999991</v>
      </c>
      <c r="S56" s="111"/>
      <c r="T56" s="100" t="str">
        <f>'50% Exceedance Baseline'!T56</f>
        <v>Flow gage data plus cumulative inputs adjusted for streambed loss or gain</v>
      </c>
    </row>
    <row r="57" spans="2:21" s="4" customFormat="1" x14ac:dyDescent="0.25">
      <c r="B57" s="10" t="s">
        <v>8</v>
      </c>
      <c r="C57" s="8">
        <f>$C$16</f>
        <v>150</v>
      </c>
      <c r="D57" s="8">
        <f>$D$16</f>
        <v>150</v>
      </c>
      <c r="E57" s="8">
        <f>$E$16</f>
        <v>150</v>
      </c>
      <c r="F57" s="8">
        <f>$F$16</f>
        <v>150</v>
      </c>
      <c r="G57" s="8">
        <f>$G$16</f>
        <v>150</v>
      </c>
      <c r="H57" s="8">
        <f>$H$16</f>
        <v>100</v>
      </c>
      <c r="I57" s="8">
        <f>$I$16</f>
        <v>65</v>
      </c>
      <c r="J57" s="8">
        <f>$J$16</f>
        <v>65</v>
      </c>
      <c r="K57" s="8">
        <f>$K$16</f>
        <v>65</v>
      </c>
      <c r="L57" s="8">
        <f>$L$16</f>
        <v>65</v>
      </c>
      <c r="M57" s="8">
        <f>$M$16</f>
        <v>65</v>
      </c>
      <c r="N57" s="8">
        <f>$N$16</f>
        <v>65</v>
      </c>
      <c r="O57" s="8">
        <f>$O$16</f>
        <v>65</v>
      </c>
      <c r="P57" s="8">
        <f>$P$16</f>
        <v>65</v>
      </c>
      <c r="Q57" s="8">
        <f>$Q$16</f>
        <v>65</v>
      </c>
      <c r="R57" s="9">
        <f>$R$16</f>
        <v>65</v>
      </c>
      <c r="S57" s="112"/>
      <c r="T57" s="100" t="str">
        <f>'50% Exceedance Baseline'!T57</f>
        <v>Target flows</v>
      </c>
      <c r="U57" s="155"/>
    </row>
    <row r="58" spans="2:21" s="30" customFormat="1" ht="15.75" thickBot="1" x14ac:dyDescent="0.3">
      <c r="B58" s="37" t="s">
        <v>10</v>
      </c>
      <c r="C58" s="38">
        <f>IF(C56&gt;C57,0,(C57-C56)*-1)</f>
        <v>0</v>
      </c>
      <c r="D58" s="38">
        <f t="shared" ref="D58:N58" si="32">IF(D56&gt;D57,0,(D57-D56)*-1)</f>
        <v>0</v>
      </c>
      <c r="E58" s="38">
        <f t="shared" si="32"/>
        <v>0</v>
      </c>
      <c r="F58" s="38">
        <f>IF(F56&gt;F57,0,(F57-F56)*-1)</f>
        <v>0</v>
      </c>
      <c r="G58" s="38">
        <f>IF(G56&gt;G57,0,(G57-G56)*-1)</f>
        <v>0</v>
      </c>
      <c r="H58" s="38">
        <f t="shared" si="32"/>
        <v>0</v>
      </c>
      <c r="I58" s="38">
        <f t="shared" si="32"/>
        <v>0</v>
      </c>
      <c r="J58" s="38">
        <f t="shared" si="32"/>
        <v>0</v>
      </c>
      <c r="K58" s="38">
        <f t="shared" si="32"/>
        <v>0</v>
      </c>
      <c r="L58" s="38">
        <f t="shared" si="32"/>
        <v>0</v>
      </c>
      <c r="M58" s="38">
        <f t="shared" si="32"/>
        <v>0</v>
      </c>
      <c r="N58" s="38">
        <f t="shared" si="32"/>
        <v>0</v>
      </c>
      <c r="O58" s="38">
        <f>IF(O56&gt;O57,0,(O57-O56)*-1)</f>
        <v>0</v>
      </c>
      <c r="P58" s="38">
        <f>IF(P56&gt;P57,0,(P57-P56)*-1)</f>
        <v>0</v>
      </c>
      <c r="Q58" s="38">
        <f>IF(Q56&gt;Q57,0,(Q57-Q56)*-1)</f>
        <v>0</v>
      </c>
      <c r="R58" s="39">
        <f>IF(R56&gt;R57,0,(R57-R56)*-1)</f>
        <v>0</v>
      </c>
      <c r="S58" s="105"/>
      <c r="T58" s="100" t="str">
        <f>'50% Exceedance Baseline'!T58</f>
        <v>Deficit between target flows and flow gage data plus total adjusted inputs</v>
      </c>
      <c r="U58" s="29"/>
    </row>
    <row r="59" spans="2:21" s="30" customFormat="1" x14ac:dyDescent="0.25">
      <c r="B59" s="40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105"/>
      <c r="T59" s="100"/>
      <c r="U59" s="29"/>
    </row>
    <row r="60" spans="2:21" s="15" customFormat="1" ht="15.75" thickBot="1" x14ac:dyDescent="0.3">
      <c r="B60" s="60" t="s">
        <v>63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8"/>
      <c r="T60" s="100"/>
      <c r="U60" s="7"/>
    </row>
    <row r="61" spans="2:21" ht="15.75" thickBot="1" x14ac:dyDescent="0.3">
      <c r="B61" s="78" t="s">
        <v>5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121">
        <v>0</v>
      </c>
      <c r="R61" s="46">
        <v>0</v>
      </c>
      <c r="S61" s="105"/>
      <c r="T61" s="100" t="str">
        <f>'50% Exceedance Baseline'!T61</f>
        <v>Flow input between Mgt. Pt. 2 and Mgt. Pt. 3</v>
      </c>
    </row>
    <row r="62" spans="2:21" ht="14.45" x14ac:dyDescent="0.3">
      <c r="B62" s="79" t="s">
        <v>7</v>
      </c>
      <c r="C62" s="16">
        <f>IF(C76&gt;C75,((C76-C75)*-1),((C75-C76)))</f>
        <v>145.26822920000001</v>
      </c>
      <c r="D62" s="16">
        <f t="shared" ref="D62:E62" si="33">IF(D76&gt;D75,((D76-D75)*-1),((D75-D76)))</f>
        <v>109.96515360000001</v>
      </c>
      <c r="E62" s="16">
        <f t="shared" si="33"/>
        <v>94.1171875</v>
      </c>
      <c r="F62" s="16">
        <f>IF(F76&gt;F75,((F76-F75)*-1),((F75-F76)))</f>
        <v>47.782325399999991</v>
      </c>
      <c r="G62" s="16">
        <f>IF(G76&gt;G75,((G76-G75)*-1),((G75-G76)))</f>
        <v>28.729580870000007</v>
      </c>
      <c r="H62" s="16">
        <f t="shared" ref="H62:R62" si="34">IF(H76&gt;H75,((H76-H75)*-1),((H75-H76)))</f>
        <v>4.5480955899999884</v>
      </c>
      <c r="I62" s="16">
        <f t="shared" si="34"/>
        <v>0.39788814000000627</v>
      </c>
      <c r="J62" s="16">
        <f t="shared" si="34"/>
        <v>0.5553354200000058</v>
      </c>
      <c r="K62" s="16">
        <f t="shared" si="34"/>
        <v>0.47949583999999845</v>
      </c>
      <c r="L62" s="16">
        <f t="shared" si="34"/>
        <v>8.9494909999999095E-2</v>
      </c>
      <c r="M62" s="16">
        <f t="shared" si="34"/>
        <v>0.40563072999999861</v>
      </c>
      <c r="N62" s="16">
        <f t="shared" si="34"/>
        <v>0.30071623000000614</v>
      </c>
      <c r="O62" s="16">
        <f t="shared" si="34"/>
        <v>0.20647560999999826</v>
      </c>
      <c r="P62" s="16">
        <f t="shared" si="34"/>
        <v>7.8063807099999991</v>
      </c>
      <c r="Q62" s="16">
        <f t="shared" si="34"/>
        <v>27.554258420000011</v>
      </c>
      <c r="R62" s="14">
        <f t="shared" si="34"/>
        <v>39.204537610000017</v>
      </c>
      <c r="S62" s="18"/>
      <c r="T62" s="100" t="str">
        <f>'50% Exceedance Baseline'!T62</f>
        <v>Flow target surplus or deficit after input</v>
      </c>
    </row>
    <row r="63" spans="2:21" thickBot="1" x14ac:dyDescent="0.35">
      <c r="B63" s="80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7"/>
      <c r="S63" s="18"/>
    </row>
    <row r="64" spans="2:21" s="12" customFormat="1" thickBot="1" x14ac:dyDescent="0.35">
      <c r="B64" s="73" t="s">
        <v>6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121">
        <v>0</v>
      </c>
      <c r="R64" s="46">
        <v>0</v>
      </c>
      <c r="S64" s="105"/>
      <c r="T64" s="100" t="str">
        <f>'50% Exceedance Baseline'!T64</f>
        <v>Flow input between Mgt. Pt. 2 and Mgt. Pt. 3</v>
      </c>
      <c r="U64" s="13"/>
    </row>
    <row r="65" spans="2:21" s="4" customFormat="1" ht="14.45" x14ac:dyDescent="0.3">
      <c r="B65" s="79" t="s">
        <v>7</v>
      </c>
      <c r="C65" s="16">
        <f>IF(C76&gt;C75,((C76-C75)*-1),((C75-C76)))</f>
        <v>145.26822920000001</v>
      </c>
      <c r="D65" s="16">
        <f t="shared" ref="D65:R65" si="35">IF(D76&gt;D75,((D76-D75)*-1),((D75-D76)))</f>
        <v>109.96515360000001</v>
      </c>
      <c r="E65" s="16">
        <f t="shared" si="35"/>
        <v>94.1171875</v>
      </c>
      <c r="F65" s="16">
        <f t="shared" si="35"/>
        <v>47.782325399999991</v>
      </c>
      <c r="G65" s="16">
        <f t="shared" si="35"/>
        <v>28.729580870000007</v>
      </c>
      <c r="H65" s="16">
        <f t="shared" si="35"/>
        <v>4.5480955899999884</v>
      </c>
      <c r="I65" s="16">
        <f t="shared" si="35"/>
        <v>0.39788814000000627</v>
      </c>
      <c r="J65" s="16">
        <f t="shared" si="35"/>
        <v>0.5553354200000058</v>
      </c>
      <c r="K65" s="16">
        <f t="shared" si="35"/>
        <v>0.47949583999999845</v>
      </c>
      <c r="L65" s="16">
        <f t="shared" si="35"/>
        <v>8.9494909999999095E-2</v>
      </c>
      <c r="M65" s="16">
        <f t="shared" si="35"/>
        <v>0.40563072999999861</v>
      </c>
      <c r="N65" s="16">
        <f t="shared" si="35"/>
        <v>0.30071623000000614</v>
      </c>
      <c r="O65" s="16">
        <f t="shared" si="35"/>
        <v>0.20647560999999826</v>
      </c>
      <c r="P65" s="16">
        <f t="shared" si="35"/>
        <v>7.8063807099999991</v>
      </c>
      <c r="Q65" s="16">
        <f t="shared" si="35"/>
        <v>27.554258420000011</v>
      </c>
      <c r="R65" s="14">
        <f t="shared" si="35"/>
        <v>39.204537610000017</v>
      </c>
      <c r="S65" s="18"/>
      <c r="T65" s="100" t="str">
        <f>'50% Exceedance Baseline'!T65</f>
        <v>Flow target surplus or deficit after input</v>
      </c>
      <c r="U65" s="155"/>
    </row>
    <row r="66" spans="2:21" s="4" customFormat="1" thickBot="1" x14ac:dyDescent="0.35">
      <c r="B66" s="80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7"/>
      <c r="S66" s="18"/>
      <c r="T66" s="100"/>
      <c r="U66" s="155"/>
    </row>
    <row r="67" spans="2:21" thickBot="1" x14ac:dyDescent="0.35">
      <c r="B67" s="73" t="s">
        <v>60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121">
        <v>0</v>
      </c>
      <c r="R67" s="46">
        <v>0</v>
      </c>
      <c r="S67" s="105"/>
      <c r="T67" s="100" t="str">
        <f>'50% Exceedance Baseline'!T67</f>
        <v>Flow input between Mgt. Pt. 2 and Mgt. Pt. 3</v>
      </c>
    </row>
    <row r="68" spans="2:21" s="4" customFormat="1" ht="14.45" x14ac:dyDescent="0.3">
      <c r="B68" s="79" t="s">
        <v>7</v>
      </c>
      <c r="C68" s="16">
        <f>IF(C76&gt;C75,((C76-C75)*-1),((C75-C76)))</f>
        <v>145.26822920000001</v>
      </c>
      <c r="D68" s="16">
        <f t="shared" ref="D68:R68" si="36">IF(D76&gt;D75,((D76-D75)*-1),((D75-D76)))</f>
        <v>109.96515360000001</v>
      </c>
      <c r="E68" s="16">
        <f t="shared" si="36"/>
        <v>94.1171875</v>
      </c>
      <c r="F68" s="16">
        <f t="shared" si="36"/>
        <v>47.782325399999991</v>
      </c>
      <c r="G68" s="16">
        <f t="shared" si="36"/>
        <v>28.729580870000007</v>
      </c>
      <c r="H68" s="16">
        <f t="shared" si="36"/>
        <v>4.5480955899999884</v>
      </c>
      <c r="I68" s="16">
        <f t="shared" si="36"/>
        <v>0.39788814000000627</v>
      </c>
      <c r="J68" s="16">
        <f t="shared" si="36"/>
        <v>0.5553354200000058</v>
      </c>
      <c r="K68" s="16">
        <f t="shared" si="36"/>
        <v>0.47949583999999845</v>
      </c>
      <c r="L68" s="16">
        <f t="shared" si="36"/>
        <v>8.9494909999999095E-2</v>
      </c>
      <c r="M68" s="16">
        <f t="shared" si="36"/>
        <v>0.40563072999999861</v>
      </c>
      <c r="N68" s="16">
        <f t="shared" si="36"/>
        <v>0.30071623000000614</v>
      </c>
      <c r="O68" s="16">
        <f t="shared" si="36"/>
        <v>0.20647560999999826</v>
      </c>
      <c r="P68" s="16">
        <f t="shared" si="36"/>
        <v>7.8063807099999991</v>
      </c>
      <c r="Q68" s="16">
        <f t="shared" si="36"/>
        <v>27.554258420000011</v>
      </c>
      <c r="R68" s="14">
        <f t="shared" si="36"/>
        <v>39.204537610000017</v>
      </c>
      <c r="S68" s="18"/>
      <c r="T68" s="100" t="str">
        <f>'50% Exceedance Baseline'!T68</f>
        <v>Flow target surplus or deficit after input</v>
      </c>
      <c r="U68" s="155"/>
    </row>
    <row r="69" spans="2:21" ht="14.45" x14ac:dyDescent="0.3">
      <c r="B69" s="81" t="s">
        <v>22</v>
      </c>
      <c r="C69" s="18">
        <f t="shared" ref="C69:F69" si="37">SUM(C61+C64+C67)</f>
        <v>0</v>
      </c>
      <c r="D69" s="18">
        <f t="shared" si="37"/>
        <v>0</v>
      </c>
      <c r="E69" s="18">
        <f t="shared" si="37"/>
        <v>0</v>
      </c>
      <c r="F69" s="18">
        <f t="shared" si="37"/>
        <v>0</v>
      </c>
      <c r="G69" s="18">
        <f>SUM(G61+G64+G67)</f>
        <v>0</v>
      </c>
      <c r="H69" s="18">
        <f t="shared" ref="H69:N69" si="38">SUM(H61+H64+H67)</f>
        <v>0</v>
      </c>
      <c r="I69" s="18">
        <f t="shared" si="38"/>
        <v>0</v>
      </c>
      <c r="J69" s="18">
        <f t="shared" si="38"/>
        <v>0</v>
      </c>
      <c r="K69" s="18">
        <f t="shared" si="38"/>
        <v>0</v>
      </c>
      <c r="L69" s="18">
        <f t="shared" si="38"/>
        <v>0</v>
      </c>
      <c r="M69" s="18">
        <f t="shared" si="38"/>
        <v>0</v>
      </c>
      <c r="N69" s="18">
        <f t="shared" si="38"/>
        <v>0</v>
      </c>
      <c r="O69" s="18">
        <f>SUM(O61+O64+O67)</f>
        <v>0</v>
      </c>
      <c r="P69" s="18">
        <f>SUM(P61+P64+P67)</f>
        <v>0</v>
      </c>
      <c r="Q69" s="18">
        <f>SUM(Q61+Q64+Q67)</f>
        <v>0</v>
      </c>
      <c r="R69" s="17">
        <f>SUM(R61+R64+R67)</f>
        <v>0</v>
      </c>
      <c r="S69" s="18"/>
      <c r="T69" s="100" t="str">
        <f>'50% Exceedance Baseline'!T69</f>
        <v>Subtotal of all inputs in Nursery Bridge to Pepper Bridge reach</v>
      </c>
    </row>
    <row r="70" spans="2:21" s="32" customFormat="1" thickBot="1" x14ac:dyDescent="0.35">
      <c r="B70" s="80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7"/>
      <c r="S70" s="18"/>
      <c r="T70" s="100"/>
    </row>
    <row r="71" spans="2:21" s="64" customFormat="1" ht="15.75" thickBot="1" x14ac:dyDescent="0.3">
      <c r="B71" s="70" t="s">
        <v>69</v>
      </c>
      <c r="C71" s="69">
        <f>'50% Exceedance Baseline'!C71</f>
        <v>-0.16</v>
      </c>
      <c r="D71" s="69">
        <f>'50% Exceedance Baseline'!D71</f>
        <v>-0.16</v>
      </c>
      <c r="E71" s="69">
        <f>'50% Exceedance Baseline'!E71</f>
        <v>-0.16</v>
      </c>
      <c r="F71" s="69">
        <f>'50% Exceedance Baseline'!F71</f>
        <v>-0.16</v>
      </c>
      <c r="G71" s="69">
        <f>'50% Exceedance Baseline'!G71</f>
        <v>-0.16</v>
      </c>
      <c r="H71" s="69">
        <f>'50% Exceedance Baseline'!H71</f>
        <v>-0.16</v>
      </c>
      <c r="I71" s="69">
        <f>'50% Exceedance Baseline'!I71</f>
        <v>-0.24</v>
      </c>
      <c r="J71" s="69">
        <f>'50% Exceedance Baseline'!J71</f>
        <v>-0.24</v>
      </c>
      <c r="K71" s="69">
        <f>'50% Exceedance Baseline'!K71</f>
        <v>-0.26500000000000001</v>
      </c>
      <c r="L71" s="69">
        <f>'50% Exceedance Baseline'!L71</f>
        <v>-0.26500000000000001</v>
      </c>
      <c r="M71" s="69">
        <f>'50% Exceedance Baseline'!M71</f>
        <v>-0.215</v>
      </c>
      <c r="N71" s="69">
        <f>'50% Exceedance Baseline'!N71</f>
        <v>-0.215</v>
      </c>
      <c r="O71" s="69">
        <f>'50% Exceedance Baseline'!O71</f>
        <v>-0.17</v>
      </c>
      <c r="P71" s="69">
        <f>'50% Exceedance Baseline'!P71</f>
        <v>-0.17</v>
      </c>
      <c r="Q71" s="82">
        <f>'50% Exceedance Baseline'!Q71</f>
        <v>0.20899999999999999</v>
      </c>
      <c r="R71" s="82">
        <f>'50% Exceedance Baseline'!R71</f>
        <v>0.20899999999999999</v>
      </c>
      <c r="S71" s="107"/>
      <c r="T71" s="100" t="str">
        <f>'50% Exceedance Baseline'!T71</f>
        <v>Percentage total inputs lost or gained due to streambed hydrology (2002-2015 WWBWC seepage data); estimated current rates halved to reflect assumed seepage reductions from future projects</v>
      </c>
    </row>
    <row r="72" spans="2:21" s="28" customFormat="1" x14ac:dyDescent="0.25">
      <c r="B72" s="84" t="s">
        <v>20</v>
      </c>
      <c r="C72" s="57">
        <f>SUM(C69+C53)*(1+C71)</f>
        <v>0</v>
      </c>
      <c r="D72" s="57">
        <f t="shared" ref="D72:N72" si="39">SUM(D69+D53)*(1+D71)</f>
        <v>0</v>
      </c>
      <c r="E72" s="57">
        <f t="shared" si="39"/>
        <v>0</v>
      </c>
      <c r="F72" s="57">
        <f t="shared" si="39"/>
        <v>32.373599999999996</v>
      </c>
      <c r="G72" s="57">
        <f t="shared" si="39"/>
        <v>109.75439999999999</v>
      </c>
      <c r="H72" s="57">
        <f t="shared" si="39"/>
        <v>67.115999999999985</v>
      </c>
      <c r="I72" s="57">
        <f t="shared" si="39"/>
        <v>48.617960000000004</v>
      </c>
      <c r="J72" s="57">
        <f t="shared" si="39"/>
        <v>47.933199999999999</v>
      </c>
      <c r="K72" s="57">
        <f t="shared" si="39"/>
        <v>47.488349999999997</v>
      </c>
      <c r="L72" s="57">
        <f t="shared" si="39"/>
        <v>49.494900000000001</v>
      </c>
      <c r="M72" s="57">
        <f t="shared" si="39"/>
        <v>45.389485000000001</v>
      </c>
      <c r="N72" s="57">
        <f t="shared" si="39"/>
        <v>46.066940000000002</v>
      </c>
      <c r="O72" s="57">
        <f>SUM(O69+O53)*(1+O71)</f>
        <v>41.748999999999995</v>
      </c>
      <c r="P72" s="122">
        <f>SUM(P69+P53)*(1+P71)</f>
        <v>43.418959999999998</v>
      </c>
      <c r="Q72" s="57">
        <f>SUM(Q69+Q53)*(1+Q71)</f>
        <v>43.231422000000009</v>
      </c>
      <c r="R72" s="68">
        <f>SUM(R69+R53)*(1+R71)</f>
        <v>30.717063000000003</v>
      </c>
      <c r="S72" s="110"/>
      <c r="T72" s="100" t="str">
        <f>'50% Exceedance Baseline'!T72</f>
        <v>Total of all upstream input flow adjusted for streambed loss or gain</v>
      </c>
    </row>
    <row r="73" spans="2:21" s="21" customFormat="1" ht="15.75" thickBot="1" x14ac:dyDescent="0.3">
      <c r="B73" s="7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3"/>
      <c r="S73" s="110"/>
      <c r="T73" s="100"/>
      <c r="U73" s="20"/>
    </row>
    <row r="74" spans="2:21" s="12" customFormat="1" ht="15.75" thickBot="1" x14ac:dyDescent="0.3">
      <c r="B74" s="87" t="s">
        <v>54</v>
      </c>
      <c r="C74" s="123">
        <f>'50% Exceedance Baseline'!C74</f>
        <v>295.26822920000001</v>
      </c>
      <c r="D74" s="123">
        <f>'50% Exceedance Baseline'!D74</f>
        <v>259.96515360000001</v>
      </c>
      <c r="E74" s="123">
        <f>'50% Exceedance Baseline'!E74</f>
        <v>244.1171875</v>
      </c>
      <c r="F74" s="123">
        <f>'50% Exceedance Baseline'!F74</f>
        <v>165.40872540000001</v>
      </c>
      <c r="G74" s="123">
        <f>'50% Exceedance Baseline'!G74</f>
        <v>68.975180870000003</v>
      </c>
      <c r="H74" s="123">
        <f>'50% Exceedance Baseline'!H74</f>
        <v>37.432095590000003</v>
      </c>
      <c r="I74" s="123">
        <f>'50% Exceedance Baseline'!I74</f>
        <v>16.779928139999999</v>
      </c>
      <c r="J74" s="123">
        <f>'50% Exceedance Baseline'!J74</f>
        <v>17.622135419999999</v>
      </c>
      <c r="K74" s="123">
        <f>'50% Exceedance Baseline'!K74</f>
        <v>17.991145840000001</v>
      </c>
      <c r="L74" s="123">
        <f>'50% Exceedance Baseline'!L74</f>
        <v>15.59459491</v>
      </c>
      <c r="M74" s="123">
        <f>'50% Exceedance Baseline'!M74</f>
        <v>20.016145730000002</v>
      </c>
      <c r="N74" s="123">
        <f>'50% Exceedance Baseline'!N74</f>
        <v>19.23377623</v>
      </c>
      <c r="O74" s="123">
        <f>'50% Exceedance Baseline'!O74</f>
        <v>23.457475609999999</v>
      </c>
      <c r="P74" s="123">
        <f>'50% Exceedance Baseline'!P74</f>
        <v>29.387420710000001</v>
      </c>
      <c r="Q74" s="123">
        <f>'50% Exceedance Baseline'!Q74</f>
        <v>49.322836420000002</v>
      </c>
      <c r="R74" s="123">
        <f>'50% Exceedance Baseline'!R74</f>
        <v>73.487474610000007</v>
      </c>
      <c r="S74" s="108"/>
      <c r="T74" s="100" t="str">
        <f>'50% Exceedance Baseline'!T74</f>
        <v>Median flow data at S-108 gage (2004-2016)</v>
      </c>
    </row>
    <row r="75" spans="2:21" s="12" customFormat="1" x14ac:dyDescent="0.25">
      <c r="B75" s="88" t="s">
        <v>38</v>
      </c>
      <c r="C75" s="89">
        <f>C74+C72</f>
        <v>295.26822920000001</v>
      </c>
      <c r="D75" s="89">
        <f t="shared" ref="D75:E75" si="40">D74+D72</f>
        <v>259.96515360000001</v>
      </c>
      <c r="E75" s="89">
        <f t="shared" si="40"/>
        <v>244.1171875</v>
      </c>
      <c r="F75" s="89">
        <f>F74+F72</f>
        <v>197.78232539999999</v>
      </c>
      <c r="G75" s="89">
        <f t="shared" ref="G75:H75" si="41">G74+G72</f>
        <v>178.72958087000001</v>
      </c>
      <c r="H75" s="89">
        <f t="shared" si="41"/>
        <v>104.54809558999999</v>
      </c>
      <c r="I75" s="89">
        <f>I74+I72</f>
        <v>65.397888140000006</v>
      </c>
      <c r="J75" s="89">
        <f t="shared" ref="J75:N75" si="42">J74+J72</f>
        <v>65.555335420000006</v>
      </c>
      <c r="K75" s="89">
        <f t="shared" si="42"/>
        <v>65.479495839999998</v>
      </c>
      <c r="L75" s="89">
        <f t="shared" si="42"/>
        <v>65.089494909999999</v>
      </c>
      <c r="M75" s="89">
        <f t="shared" si="42"/>
        <v>65.405630729999999</v>
      </c>
      <c r="N75" s="89">
        <f t="shared" si="42"/>
        <v>65.300716230000006</v>
      </c>
      <c r="O75" s="89">
        <f>O74+O72</f>
        <v>65.206475609999998</v>
      </c>
      <c r="P75" s="89">
        <f>P74+P72</f>
        <v>72.806380709999999</v>
      </c>
      <c r="Q75" s="89">
        <f>Q74+Q72</f>
        <v>92.554258420000011</v>
      </c>
      <c r="R75" s="90">
        <f>R74+R72</f>
        <v>104.20453761000002</v>
      </c>
      <c r="S75" s="113"/>
      <c r="T75" s="100" t="str">
        <f>'50% Exceedance Baseline'!T75</f>
        <v>Flow gage data plus cumulative inputs adjusted for streambed loss or gain</v>
      </c>
    </row>
    <row r="76" spans="2:21" s="4" customFormat="1" x14ac:dyDescent="0.25">
      <c r="B76" s="10" t="s">
        <v>8</v>
      </c>
      <c r="C76" s="8">
        <f>$C$16</f>
        <v>150</v>
      </c>
      <c r="D76" s="8">
        <f>$D$16</f>
        <v>150</v>
      </c>
      <c r="E76" s="8">
        <f>$E$16</f>
        <v>150</v>
      </c>
      <c r="F76" s="8">
        <f>$F$16</f>
        <v>150</v>
      </c>
      <c r="G76" s="8">
        <f>$G$16</f>
        <v>150</v>
      </c>
      <c r="H76" s="8">
        <f>$H$16</f>
        <v>100</v>
      </c>
      <c r="I76" s="8">
        <f>$I$16</f>
        <v>65</v>
      </c>
      <c r="J76" s="8">
        <f>$J$16</f>
        <v>65</v>
      </c>
      <c r="K76" s="8">
        <f>$K$16</f>
        <v>65</v>
      </c>
      <c r="L76" s="8">
        <f>$L$16</f>
        <v>65</v>
      </c>
      <c r="M76" s="8">
        <f>$M$16</f>
        <v>65</v>
      </c>
      <c r="N76" s="8">
        <f>$N$16</f>
        <v>65</v>
      </c>
      <c r="O76" s="8">
        <f>$O$16</f>
        <v>65</v>
      </c>
      <c r="P76" s="8">
        <f>$P$16</f>
        <v>65</v>
      </c>
      <c r="Q76" s="8">
        <f>$Q$16</f>
        <v>65</v>
      </c>
      <c r="R76" s="9">
        <f>$R$16</f>
        <v>65</v>
      </c>
      <c r="S76" s="112"/>
      <c r="T76" s="100" t="str">
        <f>'50% Exceedance Baseline'!T76</f>
        <v>Target flows</v>
      </c>
    </row>
    <row r="77" spans="2:21" ht="15.75" thickBot="1" x14ac:dyDescent="0.3">
      <c r="B77" s="37" t="s">
        <v>12</v>
      </c>
      <c r="C77" s="38">
        <f>IF(C75&gt;C76,0,(C76-C75)*-1)</f>
        <v>0</v>
      </c>
      <c r="D77" s="38">
        <f t="shared" ref="D77:E77" si="43">IF(D75&gt;D76,0,(D76-D75)*-1)</f>
        <v>0</v>
      </c>
      <c r="E77" s="38">
        <f t="shared" si="43"/>
        <v>0</v>
      </c>
      <c r="F77" s="38">
        <f>IF(F75&gt;F76,0,(F76-F75)*-1)</f>
        <v>0</v>
      </c>
      <c r="G77" s="38">
        <f t="shared" ref="G77:N77" si="44">IF(G75&gt;G76,0,(G76-G75)*-1)</f>
        <v>0</v>
      </c>
      <c r="H77" s="38">
        <f t="shared" si="44"/>
        <v>0</v>
      </c>
      <c r="I77" s="38">
        <f t="shared" si="44"/>
        <v>0</v>
      </c>
      <c r="J77" s="38">
        <f t="shared" si="44"/>
        <v>0</v>
      </c>
      <c r="K77" s="38">
        <f t="shared" si="44"/>
        <v>0</v>
      </c>
      <c r="L77" s="38">
        <f t="shared" si="44"/>
        <v>0</v>
      </c>
      <c r="M77" s="38">
        <f t="shared" si="44"/>
        <v>0</v>
      </c>
      <c r="N77" s="38">
        <f t="shared" si="44"/>
        <v>0</v>
      </c>
      <c r="O77" s="38">
        <f>IF(O75&gt;O76,0,(O76-O75)*-1)</f>
        <v>0</v>
      </c>
      <c r="P77" s="38">
        <f>IF(P75&gt;P76,0,(P76-P75)*-1)</f>
        <v>0</v>
      </c>
      <c r="Q77" s="38">
        <f>IF(Q75&gt;Q76,0,(Q76-Q75)*-1)</f>
        <v>0</v>
      </c>
      <c r="R77" s="39">
        <f>IF(R75&gt;R76,0,(R76-R75)*-1)</f>
        <v>0</v>
      </c>
      <c r="S77" s="105"/>
      <c r="T77" s="100" t="str">
        <f>'50% Exceedance Baseline'!T77</f>
        <v>Deficit between target flows and flow gage data plus total adjusted inputs</v>
      </c>
    </row>
    <row r="78" spans="2:21" x14ac:dyDescent="0.25">
      <c r="B78" s="9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110"/>
    </row>
    <row r="80" spans="2:21" x14ac:dyDescent="0.25">
      <c r="B80" s="35" t="s">
        <v>3</v>
      </c>
      <c r="C80" s="34">
        <f>'50% Exceedance Baseline'!C80</f>
        <v>30</v>
      </c>
      <c r="D80" s="34">
        <f>'50% Exceedance Baseline'!D80</f>
        <v>30</v>
      </c>
      <c r="E80" s="34">
        <f>'50% Exceedance Baseline'!E80</f>
        <v>30</v>
      </c>
      <c r="F80" s="34">
        <f>'50% Exceedance Baseline'!F80</f>
        <v>30</v>
      </c>
      <c r="G80" s="34">
        <f>'50% Exceedance Baseline'!G80</f>
        <v>10</v>
      </c>
      <c r="H80" s="34">
        <f>'50% Exceedance Baseline'!H80</f>
        <v>10</v>
      </c>
      <c r="I80" s="34">
        <f>'50% Exceedance Baseline'!I80</f>
        <v>5</v>
      </c>
      <c r="J80" s="34">
        <f>'50% Exceedance Baseline'!J80</f>
        <v>5</v>
      </c>
      <c r="K80" s="34">
        <f>'50% Exceedance Baseline'!K80</f>
        <v>3</v>
      </c>
      <c r="L80" s="34">
        <f>'50% Exceedance Baseline'!L80</f>
        <v>3</v>
      </c>
      <c r="M80" s="34">
        <f>'50% Exceedance Baseline'!M80</f>
        <v>8</v>
      </c>
      <c r="N80" s="34">
        <f>'50% Exceedance Baseline'!N80</f>
        <v>8</v>
      </c>
      <c r="O80" s="34">
        <f>'50% Exceedance Baseline'!O80</f>
        <v>10</v>
      </c>
      <c r="P80" s="34">
        <f>'50% Exceedance Baseline'!P80</f>
        <v>10</v>
      </c>
      <c r="Q80" s="34">
        <f>'50% Exceedance Baseline'!Q80</f>
        <v>20</v>
      </c>
      <c r="R80" s="34">
        <f>'50% Exceedance Baseline'!R80</f>
        <v>20</v>
      </c>
      <c r="S80" s="63"/>
      <c r="T80" s="100" t="str">
        <f>'50% Exceedance Baseline'!T80</f>
        <v>Estimates for 2014-2015</v>
      </c>
    </row>
    <row r="81" spans="2:21" s="12" customFormat="1" x14ac:dyDescent="0.25">
      <c r="B81" s="62" t="s">
        <v>110</v>
      </c>
      <c r="C81" s="19">
        <v>10</v>
      </c>
      <c r="D81" s="19">
        <v>10</v>
      </c>
      <c r="E81" s="19">
        <v>10</v>
      </c>
      <c r="F81" s="19">
        <v>10</v>
      </c>
      <c r="G81" s="19">
        <v>5</v>
      </c>
      <c r="H81" s="19">
        <v>5</v>
      </c>
      <c r="I81" s="19">
        <v>3</v>
      </c>
      <c r="J81" s="19">
        <v>3</v>
      </c>
      <c r="K81" s="19">
        <v>3</v>
      </c>
      <c r="L81" s="19">
        <v>3</v>
      </c>
      <c r="M81" s="19">
        <v>3</v>
      </c>
      <c r="N81" s="19">
        <v>3</v>
      </c>
      <c r="O81" s="19">
        <v>3</v>
      </c>
      <c r="P81" s="19">
        <v>3</v>
      </c>
      <c r="Q81" s="19">
        <v>10</v>
      </c>
      <c r="R81" s="19">
        <v>10</v>
      </c>
      <c r="S81" s="19"/>
      <c r="T81" s="100"/>
    </row>
    <row r="82" spans="2:21" s="4" customFormat="1" x14ac:dyDescent="0.25">
      <c r="B82" s="86" t="s">
        <v>11</v>
      </c>
      <c r="C82" s="92">
        <f>'50% Exceedance Baseline'!C82</f>
        <v>90</v>
      </c>
      <c r="D82" s="92">
        <f>'50% Exceedance Baseline'!D82</f>
        <v>75</v>
      </c>
      <c r="E82" s="92">
        <f>'50% Exceedance Baseline'!E82</f>
        <v>50</v>
      </c>
      <c r="F82" s="92">
        <f>'50% Exceedance Baseline'!F82</f>
        <v>50</v>
      </c>
      <c r="G82" s="92">
        <f>'50% Exceedance Baseline'!G82</f>
        <v>35</v>
      </c>
      <c r="H82" s="92">
        <f>'50% Exceedance Baseline'!H82</f>
        <v>30</v>
      </c>
      <c r="I82" s="92">
        <f>'50% Exceedance Baseline'!I82</f>
        <v>0</v>
      </c>
      <c r="J82" s="92">
        <f>'50% Exceedance Baseline'!J82</f>
        <v>0</v>
      </c>
      <c r="K82" s="92">
        <f>'50% Exceedance Baseline'!K82</f>
        <v>0</v>
      </c>
      <c r="L82" s="92">
        <f>'50% Exceedance Baseline'!L82</f>
        <v>0</v>
      </c>
      <c r="M82" s="92">
        <f>'50% Exceedance Baseline'!M82</f>
        <v>0</v>
      </c>
      <c r="N82" s="92">
        <f>'50% Exceedance Baseline'!N82</f>
        <v>0</v>
      </c>
      <c r="O82" s="92">
        <f>'50% Exceedance Baseline'!O82</f>
        <v>32</v>
      </c>
      <c r="P82" s="92">
        <f>'50% Exceedance Baseline'!P82</f>
        <v>36</v>
      </c>
      <c r="Q82" s="92">
        <f>'50% Exceedance Baseline'!Q82</f>
        <v>58</v>
      </c>
      <c r="R82" s="92">
        <f>'50% Exceedance Baseline'!R82</f>
        <v>58</v>
      </c>
      <c r="S82" s="114"/>
      <c r="T82" s="100"/>
    </row>
    <row r="83" spans="2:21" s="4" customFormat="1" x14ac:dyDescent="0.25">
      <c r="B83" s="86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114"/>
      <c r="T83" s="100"/>
    </row>
    <row r="84" spans="2:21" s="4" customFormat="1" ht="15.75" thickBot="1" x14ac:dyDescent="0.3">
      <c r="B84" s="61" t="s">
        <v>61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114"/>
      <c r="T84" s="100"/>
    </row>
    <row r="85" spans="2:21" ht="15.75" thickBot="1" x14ac:dyDescent="0.3">
      <c r="B85" s="78" t="s">
        <v>5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121">
        <v>0</v>
      </c>
      <c r="R85" s="46">
        <v>0</v>
      </c>
      <c r="S85" s="105"/>
      <c r="T85" s="100" t="str">
        <f>'50% Exceedance Baseline'!T85</f>
        <v>Flow input between Mgt. Pt. 3 and Mgt. Pt. 4</v>
      </c>
    </row>
    <row r="86" spans="2:21" x14ac:dyDescent="0.25">
      <c r="B86" s="79" t="s">
        <v>7</v>
      </c>
      <c r="C86" s="16">
        <f>IF(C100&gt;C99,((C100-C99)*-1),((C99-C100)))</f>
        <v>190.65885420000001</v>
      </c>
      <c r="D86" s="16">
        <f t="shared" ref="D86:E86" si="45">IF(D100&gt;D99,((D100-D99)*-1),((D99-D100)))</f>
        <v>127.40364579999999</v>
      </c>
      <c r="E86" s="16">
        <f t="shared" si="45"/>
        <v>109.20572920000001</v>
      </c>
      <c r="F86" s="16">
        <f>IF(F100&gt;F99,((F100-F99)*-1),((F99-F100)))</f>
        <v>80.912228999999996</v>
      </c>
      <c r="G86" s="16">
        <f>IF(G100&gt;G99,((G100-G99)*-1),((G99-G100)))</f>
        <v>23.391929199999993</v>
      </c>
      <c r="H86" s="16">
        <f t="shared" ref="H86:P86" si="46">IF(H100&gt;H99,((H100-H99)*-1),((H99-H100)))</f>
        <v>0.12078591999998878</v>
      </c>
      <c r="I86" s="16">
        <f t="shared" si="46"/>
        <v>14.697409860000008</v>
      </c>
      <c r="J86" s="16">
        <f t="shared" si="46"/>
        <v>18.200391620000005</v>
      </c>
      <c r="K86" s="16">
        <f t="shared" si="46"/>
        <v>15.889717179999991</v>
      </c>
      <c r="L86" s="16">
        <f t="shared" si="46"/>
        <v>18.591996899999998</v>
      </c>
      <c r="M86" s="16">
        <f t="shared" si="46"/>
        <v>21.306487145000006</v>
      </c>
      <c r="N86" s="16">
        <f t="shared" si="46"/>
        <v>27.989967829999998</v>
      </c>
      <c r="O86" s="16">
        <f t="shared" si="46"/>
        <v>4.2993811699999895</v>
      </c>
      <c r="P86" s="16">
        <f t="shared" si="46"/>
        <v>0.36539808000000562</v>
      </c>
      <c r="Q86" s="16">
        <f>IF(Q100&gt;Q99,((Q100-Q99)*-1),((Q99-Q100)))</f>
        <v>0.34801424400001224</v>
      </c>
      <c r="R86" s="14">
        <f>IF(R100&gt;R99,((R100-R99)*-1),((R99-R100)))</f>
        <v>0.7690249209999962</v>
      </c>
      <c r="S86" s="18"/>
      <c r="T86" s="100" t="str">
        <f>'50% Exceedance Baseline'!T86</f>
        <v>Flow target surplus or deficit after input</v>
      </c>
    </row>
    <row r="87" spans="2:21" ht="15.75" thickBot="1" x14ac:dyDescent="0.3">
      <c r="B87" s="80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7"/>
      <c r="S87" s="18"/>
    </row>
    <row r="88" spans="2:21" s="4" customFormat="1" ht="15.75" thickBot="1" x14ac:dyDescent="0.3">
      <c r="B88" s="73" t="s">
        <v>6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121">
        <v>0</v>
      </c>
      <c r="R88" s="46">
        <v>0</v>
      </c>
      <c r="S88" s="105"/>
      <c r="T88" s="100" t="str">
        <f>'50% Exceedance Baseline'!T88</f>
        <v>Flow input between Mgt. Pt. 3 and Mgt. Pt. 4</v>
      </c>
      <c r="U88" s="155"/>
    </row>
    <row r="89" spans="2:21" x14ac:dyDescent="0.25">
      <c r="B89" s="79" t="s">
        <v>7</v>
      </c>
      <c r="C89" s="16">
        <f>IF(C100&gt;C99,((C100-C99)*-1),((C99-C100)))</f>
        <v>190.65885420000001</v>
      </c>
      <c r="D89" s="16">
        <f t="shared" ref="D89:R89" si="47">IF(D100&gt;D99,((D100-D99)*-1),((D99-D100)))</f>
        <v>127.40364579999999</v>
      </c>
      <c r="E89" s="16">
        <f t="shared" si="47"/>
        <v>109.20572920000001</v>
      </c>
      <c r="F89" s="16">
        <f t="shared" si="47"/>
        <v>80.912228999999996</v>
      </c>
      <c r="G89" s="16">
        <f t="shared" si="47"/>
        <v>23.391929199999993</v>
      </c>
      <c r="H89" s="16">
        <f t="shared" si="47"/>
        <v>0.12078591999998878</v>
      </c>
      <c r="I89" s="16">
        <f t="shared" si="47"/>
        <v>14.697409860000008</v>
      </c>
      <c r="J89" s="16">
        <f t="shared" si="47"/>
        <v>18.200391620000005</v>
      </c>
      <c r="K89" s="16">
        <f t="shared" si="47"/>
        <v>15.889717179999991</v>
      </c>
      <c r="L89" s="16">
        <f t="shared" si="47"/>
        <v>18.591996899999998</v>
      </c>
      <c r="M89" s="16">
        <f t="shared" si="47"/>
        <v>21.306487145000006</v>
      </c>
      <c r="N89" s="16">
        <f t="shared" si="47"/>
        <v>27.989967829999998</v>
      </c>
      <c r="O89" s="16">
        <f t="shared" si="47"/>
        <v>4.2993811699999895</v>
      </c>
      <c r="P89" s="16">
        <f t="shared" si="47"/>
        <v>0.36539808000000562</v>
      </c>
      <c r="Q89" s="16">
        <f t="shared" si="47"/>
        <v>0.34801424400001224</v>
      </c>
      <c r="R89" s="14">
        <f t="shared" si="47"/>
        <v>0.7690249209999962</v>
      </c>
      <c r="S89" s="18"/>
      <c r="T89" s="100" t="str">
        <f>'50% Exceedance Baseline'!T89</f>
        <v>Flow target surplus or deficit after input</v>
      </c>
    </row>
    <row r="90" spans="2:21" s="4" customFormat="1" ht="15.75" thickBot="1" x14ac:dyDescent="0.3">
      <c r="B90" s="80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7"/>
      <c r="S90" s="18"/>
      <c r="T90" s="100"/>
      <c r="U90" s="155"/>
    </row>
    <row r="91" spans="2:21" s="28" customFormat="1" ht="15.75" thickBot="1" x14ac:dyDescent="0.3">
      <c r="B91" s="73" t="s">
        <v>60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121">
        <v>0</v>
      </c>
      <c r="R91" s="46">
        <v>0</v>
      </c>
      <c r="S91" s="105"/>
      <c r="T91" s="100" t="str">
        <f>'50% Exceedance Baseline'!T91</f>
        <v>Flow input between Mgt. Pt. 3 and Mgt. Pt. 4</v>
      </c>
    </row>
    <row r="92" spans="2:21" s="4" customFormat="1" x14ac:dyDescent="0.25">
      <c r="B92" s="79" t="s">
        <v>7</v>
      </c>
      <c r="C92" s="16">
        <f>IF(C100&gt;C99,((C100-C99)*-1),((C99-C100)))</f>
        <v>190.65885420000001</v>
      </c>
      <c r="D92" s="16">
        <f t="shared" ref="D92:R92" si="48">IF(D100&gt;D99,((D100-D99)*-1),((D99-D100)))</f>
        <v>127.40364579999999</v>
      </c>
      <c r="E92" s="16">
        <f t="shared" si="48"/>
        <v>109.20572920000001</v>
      </c>
      <c r="F92" s="16">
        <f t="shared" si="48"/>
        <v>80.912228999999996</v>
      </c>
      <c r="G92" s="16">
        <f t="shared" si="48"/>
        <v>23.391929199999993</v>
      </c>
      <c r="H92" s="16">
        <f t="shared" si="48"/>
        <v>0.12078591999998878</v>
      </c>
      <c r="I92" s="16">
        <f t="shared" si="48"/>
        <v>14.697409860000008</v>
      </c>
      <c r="J92" s="16">
        <f t="shared" si="48"/>
        <v>18.200391620000005</v>
      </c>
      <c r="K92" s="16">
        <f t="shared" si="48"/>
        <v>15.889717179999991</v>
      </c>
      <c r="L92" s="16">
        <f t="shared" si="48"/>
        <v>18.591996899999998</v>
      </c>
      <c r="M92" s="16">
        <f t="shared" si="48"/>
        <v>21.306487145000006</v>
      </c>
      <c r="N92" s="16">
        <f t="shared" si="48"/>
        <v>27.989967829999998</v>
      </c>
      <c r="O92" s="16">
        <f t="shared" si="48"/>
        <v>4.2993811699999895</v>
      </c>
      <c r="P92" s="16">
        <f t="shared" si="48"/>
        <v>0.36539808000000562</v>
      </c>
      <c r="Q92" s="16">
        <f t="shared" si="48"/>
        <v>0.34801424400001224</v>
      </c>
      <c r="R92" s="14">
        <f t="shared" si="48"/>
        <v>0.7690249209999962</v>
      </c>
      <c r="S92" s="18"/>
      <c r="T92" s="100" t="str">
        <f>'50% Exceedance Baseline'!T92</f>
        <v>Flow target surplus or deficit after input</v>
      </c>
      <c r="U92" s="155"/>
    </row>
    <row r="93" spans="2:21" s="4" customFormat="1" x14ac:dyDescent="0.25">
      <c r="B93" s="81" t="s">
        <v>23</v>
      </c>
      <c r="C93" s="18">
        <f t="shared" ref="C93:F93" si="49">SUM(C85+C88+C91)</f>
        <v>0</v>
      </c>
      <c r="D93" s="18">
        <f t="shared" si="49"/>
        <v>0</v>
      </c>
      <c r="E93" s="18">
        <f t="shared" si="49"/>
        <v>0</v>
      </c>
      <c r="F93" s="18">
        <f t="shared" si="49"/>
        <v>0</v>
      </c>
      <c r="G93" s="18">
        <f>SUM(G85+G88+G91)</f>
        <v>0</v>
      </c>
      <c r="H93" s="18">
        <f t="shared" ref="H93:N93" si="50">SUM(H85+H88+H91)</f>
        <v>0</v>
      </c>
      <c r="I93" s="18">
        <f t="shared" si="50"/>
        <v>0</v>
      </c>
      <c r="J93" s="18">
        <f t="shared" si="50"/>
        <v>0</v>
      </c>
      <c r="K93" s="18">
        <f t="shared" si="50"/>
        <v>0</v>
      </c>
      <c r="L93" s="18">
        <f t="shared" si="50"/>
        <v>0</v>
      </c>
      <c r="M93" s="18">
        <f t="shared" si="50"/>
        <v>0</v>
      </c>
      <c r="N93" s="18">
        <f t="shared" si="50"/>
        <v>0</v>
      </c>
      <c r="O93" s="18">
        <f>SUM(O85+O88+O91)</f>
        <v>0</v>
      </c>
      <c r="P93" s="18">
        <f>SUM(P85+P88+P91)</f>
        <v>0</v>
      </c>
      <c r="Q93" s="18">
        <f>SUM(Q85+Q88+Q91)</f>
        <v>0</v>
      </c>
      <c r="R93" s="17">
        <f>SUM(R85+R88+R91)</f>
        <v>0</v>
      </c>
      <c r="S93" s="18"/>
      <c r="T93" s="100" t="str">
        <f>'50% Exceedance Baseline'!T93</f>
        <v>Subtotal of all inputs in Pepper Bridge to Beet Road reach</v>
      </c>
      <c r="U93" s="155"/>
    </row>
    <row r="94" spans="2:21" s="26" customFormat="1" ht="15.75" thickBot="1" x14ac:dyDescent="0.3">
      <c r="B94" s="80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7"/>
      <c r="S94" s="18"/>
      <c r="T94" s="100"/>
      <c r="U94" s="25"/>
    </row>
    <row r="95" spans="2:21" s="64" customFormat="1" ht="15.75" thickBot="1" x14ac:dyDescent="0.3">
      <c r="B95" s="70" t="s">
        <v>69</v>
      </c>
      <c r="C95" s="69">
        <f>'50% Exceedance Baseline'!C95</f>
        <v>-0.107</v>
      </c>
      <c r="D95" s="69">
        <f>'50% Exceedance Baseline'!D95</f>
        <v>-0.107</v>
      </c>
      <c r="E95" s="69">
        <f>'50% Exceedance Baseline'!E95</f>
        <v>-0.107</v>
      </c>
      <c r="F95" s="69">
        <f>'50% Exceedance Baseline'!F95</f>
        <v>-0.107</v>
      </c>
      <c r="G95" s="69">
        <f>'50% Exceedance Baseline'!G95</f>
        <v>-0.107</v>
      </c>
      <c r="H95" s="69">
        <f>'50% Exceedance Baseline'!H95</f>
        <v>-0.107</v>
      </c>
      <c r="I95" s="82">
        <f>'50% Exceedance Baseline'!I95</f>
        <v>1.6E-2</v>
      </c>
      <c r="J95" s="82">
        <f>'50% Exceedance Baseline'!J95</f>
        <v>1.6E-2</v>
      </c>
      <c r="K95" s="69">
        <f>'50% Exceedance Baseline'!K95</f>
        <v>-1.9E-2</v>
      </c>
      <c r="L95" s="69">
        <f>'50% Exceedance Baseline'!L95</f>
        <v>-1.9E-2</v>
      </c>
      <c r="M95" s="69">
        <f>'50% Exceedance Baseline'!M95</f>
        <v>-4.2999999999999997E-2</v>
      </c>
      <c r="N95" s="69">
        <f>'50% Exceedance Baseline'!N95</f>
        <v>-4.2999999999999997E-2</v>
      </c>
      <c r="O95" s="69">
        <f>'50% Exceedance Baseline'!O95</f>
        <v>-2.7E-2</v>
      </c>
      <c r="P95" s="69">
        <f>'50% Exceedance Baseline'!P95</f>
        <v>-2.7E-2</v>
      </c>
      <c r="Q95" s="69">
        <f>'50% Exceedance Baseline'!Q95</f>
        <v>-3.3000000000000002E-2</v>
      </c>
      <c r="R95" s="69">
        <f>'50% Exceedance Baseline'!R95</f>
        <v>-3.3000000000000002E-2</v>
      </c>
      <c r="S95" s="107"/>
      <c r="T95" s="100" t="str">
        <f>'50% Exceedance Baseline'!T95</f>
        <v>Percentage total inputs lost or gained due to streambed hydrology (2002-2015 WWBWC seepage data)</v>
      </c>
      <c r="U95" s="83"/>
    </row>
    <row r="96" spans="2:21" x14ac:dyDescent="0.25">
      <c r="B96" s="84" t="s">
        <v>20</v>
      </c>
      <c r="C96" s="57">
        <f>SUM(C93+C72)*(1+C95)</f>
        <v>0</v>
      </c>
      <c r="D96" s="57">
        <f t="shared" ref="D96:N96" si="51">SUM(D93+D72)*(1+D95)</f>
        <v>0</v>
      </c>
      <c r="E96" s="57">
        <f t="shared" si="51"/>
        <v>0</v>
      </c>
      <c r="F96" s="57">
        <f t="shared" si="51"/>
        <v>28.909624799999996</v>
      </c>
      <c r="G96" s="57">
        <f t="shared" si="51"/>
        <v>98.010679199999998</v>
      </c>
      <c r="H96" s="57">
        <f t="shared" si="51"/>
        <v>59.934587999999991</v>
      </c>
      <c r="I96" s="57">
        <f t="shared" si="51"/>
        <v>49.395847360000005</v>
      </c>
      <c r="J96" s="57">
        <f t="shared" si="51"/>
        <v>48.700131200000001</v>
      </c>
      <c r="K96" s="57">
        <f t="shared" si="51"/>
        <v>46.586071349999997</v>
      </c>
      <c r="L96" s="57">
        <f t="shared" si="51"/>
        <v>48.554496900000004</v>
      </c>
      <c r="M96" s="57">
        <f t="shared" si="51"/>
        <v>43.437737145</v>
      </c>
      <c r="N96" s="57">
        <f t="shared" si="51"/>
        <v>44.086061579999999</v>
      </c>
      <c r="O96" s="57">
        <f>SUM(O93+O72)*(1+O95)</f>
        <v>40.621776999999994</v>
      </c>
      <c r="P96" s="57">
        <f>SUM(P93+P72)*(1+P95)</f>
        <v>42.24664808</v>
      </c>
      <c r="Q96" s="57">
        <f>SUM(Q93+Q72)*(1+Q95)</f>
        <v>41.804785074000009</v>
      </c>
      <c r="R96" s="58">
        <f>SUM(R93+R72)*(1+R95)</f>
        <v>29.703399921000003</v>
      </c>
      <c r="S96" s="110"/>
      <c r="T96" s="100" t="str">
        <f>'50% Exceedance Baseline'!T96</f>
        <v>Total of all upstream input flow adjusted for streambed loss or gain</v>
      </c>
    </row>
    <row r="97" spans="2:22" s="12" customFormat="1" ht="15.75" thickBot="1" x14ac:dyDescent="0.3">
      <c r="B97" s="71" t="s">
        <v>120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110"/>
      <c r="T97" s="100"/>
    </row>
    <row r="98" spans="2:22" s="4" customFormat="1" ht="15.75" thickBot="1" x14ac:dyDescent="0.3">
      <c r="B98" s="24" t="s">
        <v>55</v>
      </c>
      <c r="C98" s="123">
        <f>'50% Exceedance Baseline'!C98</f>
        <v>340.65885420000001</v>
      </c>
      <c r="D98" s="123">
        <f>'50% Exceedance Baseline'!D98</f>
        <v>277.40364579999999</v>
      </c>
      <c r="E98" s="123">
        <f>'50% Exceedance Baseline'!E98</f>
        <v>259.20572920000001</v>
      </c>
      <c r="F98" s="123">
        <f>'50% Exceedance Baseline'!F98</f>
        <v>202.00260420000001</v>
      </c>
      <c r="G98" s="123">
        <f>'50% Exceedance Baseline'!G98</f>
        <v>75.381249999999994</v>
      </c>
      <c r="H98" s="123">
        <f>'50% Exceedance Baseline'!H98</f>
        <v>40.186197919999998</v>
      </c>
      <c r="I98" s="123">
        <f>'50% Exceedance Baseline'!I98</f>
        <v>30.301562499999999</v>
      </c>
      <c r="J98" s="123">
        <f>'50% Exceedance Baseline'!J98</f>
        <v>34.500260419999996</v>
      </c>
      <c r="K98" s="123">
        <f>'50% Exceedance Baseline'!K98</f>
        <v>34.303645830000001</v>
      </c>
      <c r="L98" s="123">
        <f>'50% Exceedance Baseline'!L98</f>
        <v>35.037500000000001</v>
      </c>
      <c r="M98" s="123">
        <f>'50% Exceedance Baseline'!M98</f>
        <v>42.868749999999999</v>
      </c>
      <c r="N98" s="123">
        <f>'50% Exceedance Baseline'!N98</f>
        <v>48.903906249999999</v>
      </c>
      <c r="O98" s="123">
        <f>'50% Exceedance Baseline'!O98</f>
        <v>28.677604169999999</v>
      </c>
      <c r="P98" s="123">
        <f>'50% Exceedance Baseline'!P98</f>
        <v>23.118749999999999</v>
      </c>
      <c r="Q98" s="123">
        <f>'50% Exceedance Baseline'!Q98</f>
        <v>23.54322917</v>
      </c>
      <c r="R98" s="123">
        <f>'50% Exceedance Baseline'!R98</f>
        <v>36.065624999999997</v>
      </c>
      <c r="S98" s="19"/>
      <c r="T98" s="100" t="str">
        <f>'50% Exceedance Baseline'!T98</f>
        <v>Median flow data at S-109 gage (2002-2016)</v>
      </c>
      <c r="U98" s="155"/>
    </row>
    <row r="99" spans="2:22" x14ac:dyDescent="0.25">
      <c r="B99" s="47" t="s">
        <v>39</v>
      </c>
      <c r="C99" s="48">
        <f>(C98+C96)+C97</f>
        <v>340.65885420000001</v>
      </c>
      <c r="D99" s="48">
        <f t="shared" ref="D99:R99" si="52">(D98+D96)+D97</f>
        <v>277.40364579999999</v>
      </c>
      <c r="E99" s="48">
        <f t="shared" si="52"/>
        <v>259.20572920000001</v>
      </c>
      <c r="F99" s="48">
        <f t="shared" si="52"/>
        <v>230.912229</v>
      </c>
      <c r="G99" s="48">
        <f t="shared" si="52"/>
        <v>173.39192919999999</v>
      </c>
      <c r="H99" s="48">
        <f t="shared" si="52"/>
        <v>100.12078591999999</v>
      </c>
      <c r="I99" s="48">
        <f t="shared" si="52"/>
        <v>79.697409860000008</v>
      </c>
      <c r="J99" s="48">
        <f t="shared" si="52"/>
        <v>83.200391620000005</v>
      </c>
      <c r="K99" s="48">
        <f t="shared" si="52"/>
        <v>80.889717179999991</v>
      </c>
      <c r="L99" s="48">
        <f t="shared" si="52"/>
        <v>83.591996899999998</v>
      </c>
      <c r="M99" s="48">
        <f t="shared" si="52"/>
        <v>86.306487145000006</v>
      </c>
      <c r="N99" s="48">
        <f t="shared" si="52"/>
        <v>92.989967829999998</v>
      </c>
      <c r="O99" s="48">
        <f t="shared" si="52"/>
        <v>69.29938116999999</v>
      </c>
      <c r="P99" s="48">
        <f t="shared" si="52"/>
        <v>65.365398080000006</v>
      </c>
      <c r="Q99" s="133">
        <f t="shared" si="52"/>
        <v>65.348014244000012</v>
      </c>
      <c r="R99" s="49">
        <f t="shared" si="52"/>
        <v>65.769024920999996</v>
      </c>
      <c r="S99" s="111"/>
      <c r="T99" s="100" t="str">
        <f>'50% Exceedance Baseline'!T99</f>
        <v>Flow gage data plus cumulative inputs adjusted for streambed loss or gain</v>
      </c>
    </row>
    <row r="100" spans="2:22" x14ac:dyDescent="0.25">
      <c r="B100" s="10" t="s">
        <v>8</v>
      </c>
      <c r="C100" s="8">
        <f>$C$16</f>
        <v>150</v>
      </c>
      <c r="D100" s="8">
        <f>$D$16</f>
        <v>150</v>
      </c>
      <c r="E100" s="8">
        <f>$E$16</f>
        <v>150</v>
      </c>
      <c r="F100" s="8">
        <f>$F$16</f>
        <v>150</v>
      </c>
      <c r="G100" s="8">
        <f>$G$16</f>
        <v>150</v>
      </c>
      <c r="H100" s="8">
        <f>$H$16</f>
        <v>100</v>
      </c>
      <c r="I100" s="8">
        <f>$I$16</f>
        <v>65</v>
      </c>
      <c r="J100" s="8">
        <f>$J$16</f>
        <v>65</v>
      </c>
      <c r="K100" s="8">
        <f>$K$16</f>
        <v>65</v>
      </c>
      <c r="L100" s="8">
        <f>$L$16</f>
        <v>65</v>
      </c>
      <c r="M100" s="8">
        <f>$M$16</f>
        <v>65</v>
      </c>
      <c r="N100" s="8">
        <f>$N$16</f>
        <v>65</v>
      </c>
      <c r="O100" s="8">
        <f>$O$16</f>
        <v>65</v>
      </c>
      <c r="P100" s="8">
        <f>$P$16</f>
        <v>65</v>
      </c>
      <c r="Q100" s="8">
        <f>$Q$16</f>
        <v>65</v>
      </c>
      <c r="R100" s="9">
        <f>$R$16</f>
        <v>65</v>
      </c>
      <c r="S100" s="112"/>
      <c r="T100" s="100" t="str">
        <f>'50% Exceedance Baseline'!T100</f>
        <v>Target flows</v>
      </c>
    </row>
    <row r="101" spans="2:22" ht="15.75" thickBot="1" x14ac:dyDescent="0.3">
      <c r="B101" s="37" t="s">
        <v>13</v>
      </c>
      <c r="C101" s="38">
        <f>IF(C99&gt;C100,0,(C100-C99)*-1)</f>
        <v>0</v>
      </c>
      <c r="D101" s="38">
        <f t="shared" ref="D101:E101" si="53">IF(D99&gt;D100,0,(D100-D99)*-1)</f>
        <v>0</v>
      </c>
      <c r="E101" s="38">
        <f t="shared" si="53"/>
        <v>0</v>
      </c>
      <c r="F101" s="38">
        <f>IF(F99&gt;F100,0,(F100-F99)*-1)</f>
        <v>0</v>
      </c>
      <c r="G101" s="38">
        <f t="shared" ref="G101:N101" si="54">IF(G99&gt;G100,0,(G100-G99)*-1)</f>
        <v>0</v>
      </c>
      <c r="H101" s="38">
        <f t="shared" si="54"/>
        <v>0</v>
      </c>
      <c r="I101" s="38">
        <f t="shared" si="54"/>
        <v>0</v>
      </c>
      <c r="J101" s="38">
        <f t="shared" si="54"/>
        <v>0</v>
      </c>
      <c r="K101" s="38">
        <f t="shared" si="54"/>
        <v>0</v>
      </c>
      <c r="L101" s="38">
        <f t="shared" si="54"/>
        <v>0</v>
      </c>
      <c r="M101" s="38">
        <f t="shared" si="54"/>
        <v>0</v>
      </c>
      <c r="N101" s="38">
        <f t="shared" si="54"/>
        <v>0</v>
      </c>
      <c r="O101" s="38">
        <f>IF(O99&gt;O100,0,(O100-O99)*-1)</f>
        <v>0</v>
      </c>
      <c r="P101" s="38">
        <f>IF(P99&gt;P100,0,(P100-P99)*-1)</f>
        <v>0</v>
      </c>
      <c r="Q101" s="38">
        <f>IF(Q99&gt;Q100,0,(Q100-Q99)*-1)</f>
        <v>0</v>
      </c>
      <c r="R101" s="39">
        <f>IF(R99&gt;R100,0,(R100-R99)*-1)</f>
        <v>0</v>
      </c>
      <c r="S101" s="105"/>
      <c r="T101" s="100" t="str">
        <f>'50% Exceedance Baseline'!T101</f>
        <v>Deficit between target flows and flow gage data plus total adjusted inputs</v>
      </c>
    </row>
    <row r="102" spans="2:22" x14ac:dyDescent="0.25">
      <c r="B102" s="40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105"/>
    </row>
    <row r="103" spans="2:22" x14ac:dyDescent="0.25">
      <c r="B103" s="35" t="s">
        <v>101</v>
      </c>
      <c r="C103" s="34">
        <f>C119-C98</f>
        <v>140.34114579999999</v>
      </c>
      <c r="D103" s="34">
        <f t="shared" ref="D103:N103" si="55">D119-D98</f>
        <v>87.096354200000007</v>
      </c>
      <c r="E103" s="34">
        <f t="shared" si="55"/>
        <v>112.29427079999999</v>
      </c>
      <c r="F103" s="34">
        <f t="shared" si="55"/>
        <v>13.997395799999993</v>
      </c>
      <c r="G103" s="34">
        <f t="shared" si="55"/>
        <v>40.618750000000006</v>
      </c>
      <c r="H103" s="34">
        <f t="shared" si="55"/>
        <v>29.613802079999999</v>
      </c>
      <c r="I103" s="34">
        <f t="shared" si="55"/>
        <v>8.9984374999999979</v>
      </c>
      <c r="J103" s="34">
        <f t="shared" si="55"/>
        <v>3.6997395800000064</v>
      </c>
      <c r="K103" s="34">
        <f t="shared" si="55"/>
        <v>4.5463541700000007</v>
      </c>
      <c r="L103" s="34">
        <f t="shared" si="55"/>
        <v>7.3624999999999972</v>
      </c>
      <c r="M103" s="34">
        <f t="shared" si="55"/>
        <v>8.03125</v>
      </c>
      <c r="N103" s="34">
        <f t="shared" si="55"/>
        <v>9.0460937500000043</v>
      </c>
      <c r="O103" s="34">
        <f>O119-O98</f>
        <v>16.322395830000001</v>
      </c>
      <c r="P103" s="34">
        <f>P119-P98</f>
        <v>25.581250000000004</v>
      </c>
      <c r="Q103" s="34">
        <f>Q119-Q98</f>
        <v>37.456770829999996</v>
      </c>
      <c r="R103" s="34">
        <f>R119-R98</f>
        <v>56.634375000000006</v>
      </c>
      <c r="S103" s="63"/>
      <c r="T103" s="100" t="str">
        <f>'50% Exceedance Baseline'!T103</f>
        <v>Detour gaging data minus Beet Road gaging data</v>
      </c>
    </row>
    <row r="104" spans="2:22" s="12" customFormat="1" x14ac:dyDescent="0.25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100"/>
      <c r="U104" s="13"/>
    </row>
    <row r="105" spans="2:22" ht="15.75" thickBot="1" x14ac:dyDescent="0.3">
      <c r="B105" s="64" t="s">
        <v>65</v>
      </c>
      <c r="C105" s="22">
        <f>IF(C109&gt;0,10,0)</f>
        <v>0</v>
      </c>
      <c r="D105" s="22">
        <f t="shared" ref="D105:R105" si="56">IF(D109&gt;0,10,0)</f>
        <v>0</v>
      </c>
      <c r="E105" s="22">
        <f t="shared" si="56"/>
        <v>0</v>
      </c>
      <c r="F105" s="22">
        <f t="shared" si="56"/>
        <v>10</v>
      </c>
      <c r="G105" s="22">
        <f t="shared" si="56"/>
        <v>10</v>
      </c>
      <c r="H105" s="22">
        <f t="shared" si="56"/>
        <v>0</v>
      </c>
      <c r="I105" s="22">
        <f t="shared" si="56"/>
        <v>0</v>
      </c>
      <c r="J105" s="22">
        <f t="shared" si="56"/>
        <v>0</v>
      </c>
      <c r="K105" s="22">
        <f t="shared" si="56"/>
        <v>0</v>
      </c>
      <c r="L105" s="22">
        <f t="shared" si="56"/>
        <v>0</v>
      </c>
      <c r="M105" s="22">
        <f t="shared" si="56"/>
        <v>0</v>
      </c>
      <c r="N105" s="22">
        <f t="shared" si="56"/>
        <v>0</v>
      </c>
      <c r="O105" s="22">
        <f t="shared" si="56"/>
        <v>0</v>
      </c>
      <c r="P105" s="22">
        <f t="shared" si="56"/>
        <v>0</v>
      </c>
      <c r="Q105" s="22">
        <f t="shared" si="56"/>
        <v>0</v>
      </c>
      <c r="R105" s="22">
        <f t="shared" si="56"/>
        <v>0</v>
      </c>
      <c r="S105" s="110"/>
      <c r="T105" s="101" t="s">
        <v>118</v>
      </c>
      <c r="U105" s="139">
        <f>SUM(C105:R105)*15*1.9835</f>
        <v>595.05000000000007</v>
      </c>
      <c r="V105" s="11" t="s">
        <v>122</v>
      </c>
    </row>
    <row r="106" spans="2:22" ht="15.75" thickBot="1" x14ac:dyDescent="0.3">
      <c r="B106" s="72" t="s">
        <v>119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105"/>
      <c r="T106" s="100" t="str">
        <f>'50% Exceedance Baseline'!T106</f>
        <v>Flow input between Mgt. Pt. 4 and Mgt. Pt. 5</v>
      </c>
    </row>
    <row r="107" spans="2:22" x14ac:dyDescent="0.25">
      <c r="B107" s="79" t="s">
        <v>7</v>
      </c>
      <c r="C107" s="16">
        <f>IF(C121&gt;C120,((C121-C120)*-1),((C120-C121)))</f>
        <v>331</v>
      </c>
      <c r="D107" s="16">
        <f t="shared" ref="D107:E107" si="57">IF(D121&gt;D120,((D121-D120)*-1),((D120-D121)))</f>
        <v>214.5</v>
      </c>
      <c r="E107" s="16">
        <f t="shared" si="57"/>
        <v>221.5</v>
      </c>
      <c r="F107" s="16">
        <f>IF(F121&gt;F120,((F121-F120)*-1),((F120-F121)))</f>
        <v>129.45736541999997</v>
      </c>
      <c r="G107" s="16">
        <f>IF(G121&gt;G120,((G121-G120)*-1),((G120-G121)))</f>
        <v>81.835946180000008</v>
      </c>
      <c r="H107" s="16">
        <f t="shared" ref="H107:R107" si="58">IF(H121&gt;H120,((H121-H120)*-1),((H120-H121)))</f>
        <v>31.232952699999998</v>
      </c>
      <c r="I107" s="16">
        <f t="shared" si="58"/>
        <v>25.474097864960001</v>
      </c>
      <c r="J107" s="16">
        <f t="shared" si="58"/>
        <v>23.653335923200004</v>
      </c>
      <c r="K107" s="16">
        <f t="shared" si="58"/>
        <v>17.594320997650001</v>
      </c>
      <c r="L107" s="16">
        <f t="shared" si="58"/>
        <v>22.99267258910001</v>
      </c>
      <c r="M107" s="16">
        <f t="shared" si="58"/>
        <v>28.946797510695006</v>
      </c>
      <c r="N107" s="16">
        <f t="shared" si="58"/>
        <v>36.639287025779993</v>
      </c>
      <c r="O107" s="16">
        <f t="shared" si="58"/>
        <v>26.71504354999999</v>
      </c>
      <c r="P107" s="16">
        <f t="shared" si="58"/>
        <v>32.283645291999989</v>
      </c>
      <c r="Q107" s="16">
        <f t="shared" si="58"/>
        <v>32.871820435268006</v>
      </c>
      <c r="R107" s="14">
        <f t="shared" si="58"/>
        <v>53.898398730322</v>
      </c>
      <c r="S107" s="18"/>
      <c r="T107" s="100" t="str">
        <f>'50% Exceedance Baseline'!T107</f>
        <v>Flow target surplus or deficit after input</v>
      </c>
    </row>
    <row r="108" spans="2:22" ht="15.75" thickBot="1" x14ac:dyDescent="0.3">
      <c r="B108" s="80"/>
      <c r="C108" s="18"/>
      <c r="D108" s="18"/>
      <c r="E108" s="18"/>
      <c r="F108" s="18"/>
      <c r="G108" s="18">
        <v>25</v>
      </c>
      <c r="H108" s="18">
        <v>20</v>
      </c>
      <c r="I108" s="18"/>
      <c r="J108" s="18"/>
      <c r="K108" s="18"/>
      <c r="L108" s="18"/>
      <c r="M108" s="18"/>
      <c r="N108" s="18"/>
      <c r="O108" s="18">
        <v>22</v>
      </c>
      <c r="P108" s="18">
        <v>26</v>
      </c>
      <c r="Q108" s="18"/>
      <c r="R108" s="17"/>
      <c r="S108" s="18"/>
    </row>
    <row r="109" spans="2:22" ht="15.75" thickBot="1" x14ac:dyDescent="0.3">
      <c r="B109" s="73" t="s">
        <v>116</v>
      </c>
      <c r="C109" s="46">
        <v>0</v>
      </c>
      <c r="D109" s="46">
        <v>0</v>
      </c>
      <c r="E109" s="46">
        <v>0</v>
      </c>
      <c r="F109" s="46">
        <v>33</v>
      </c>
      <c r="G109" s="46">
        <v>15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105"/>
      <c r="T109" s="100" t="str">
        <f>'50% Exceedance Baseline'!T109</f>
        <v>Flow input between Mgt. Pt. 4 and Mgt. Pt. 5</v>
      </c>
    </row>
    <row r="110" spans="2:22" x14ac:dyDescent="0.25">
      <c r="B110" s="79" t="s">
        <v>7</v>
      </c>
      <c r="C110" s="16">
        <f>IF(C121&gt;C120,((C121-C120)*-1),((C120-C121)))</f>
        <v>331</v>
      </c>
      <c r="D110" s="16">
        <f t="shared" ref="D110:R110" si="59">IF(D121&gt;D120,((D121-D120)*-1),((D120-D121)))</f>
        <v>214.5</v>
      </c>
      <c r="E110" s="16">
        <f t="shared" si="59"/>
        <v>221.5</v>
      </c>
      <c r="F110" s="16">
        <f t="shared" si="59"/>
        <v>129.45736541999997</v>
      </c>
      <c r="G110" s="16">
        <f t="shared" si="59"/>
        <v>81.835946180000008</v>
      </c>
      <c r="H110" s="16">
        <f t="shared" si="59"/>
        <v>31.232952699999998</v>
      </c>
      <c r="I110" s="16">
        <f t="shared" si="59"/>
        <v>25.474097864960001</v>
      </c>
      <c r="J110" s="16">
        <f t="shared" si="59"/>
        <v>23.653335923200004</v>
      </c>
      <c r="K110" s="16">
        <f t="shared" si="59"/>
        <v>17.594320997650001</v>
      </c>
      <c r="L110" s="16">
        <f t="shared" si="59"/>
        <v>22.99267258910001</v>
      </c>
      <c r="M110" s="16">
        <f t="shared" si="59"/>
        <v>28.946797510695006</v>
      </c>
      <c r="N110" s="16">
        <f t="shared" si="59"/>
        <v>36.639287025779993</v>
      </c>
      <c r="O110" s="16">
        <f t="shared" si="59"/>
        <v>26.71504354999999</v>
      </c>
      <c r="P110" s="16">
        <f t="shared" si="59"/>
        <v>32.283645291999989</v>
      </c>
      <c r="Q110" s="16">
        <f t="shared" si="59"/>
        <v>32.871820435268006</v>
      </c>
      <c r="R110" s="14">
        <f t="shared" si="59"/>
        <v>53.898398730322</v>
      </c>
      <c r="S110" s="18"/>
      <c r="T110" s="100" t="str">
        <f>'50% Exceedance Baseline'!T110</f>
        <v>Flow target surplus or deficit after input</v>
      </c>
    </row>
    <row r="111" spans="2:22" s="4" customFormat="1" ht="15.75" thickBot="1" x14ac:dyDescent="0.3">
      <c r="B111" s="135" t="s">
        <v>115</v>
      </c>
      <c r="C111" s="136">
        <f t="shared" ref="C111:R111" si="60">C109*15*1.9835</f>
        <v>0</v>
      </c>
      <c r="D111" s="136">
        <f t="shared" si="60"/>
        <v>0</v>
      </c>
      <c r="E111" s="136">
        <f t="shared" si="60"/>
        <v>0</v>
      </c>
      <c r="F111" s="136">
        <f t="shared" si="60"/>
        <v>981.83249999999998</v>
      </c>
      <c r="G111" s="136">
        <f>G109*15*1.9835</f>
        <v>446.28750000000002</v>
      </c>
      <c r="H111" s="136">
        <f t="shared" si="60"/>
        <v>0</v>
      </c>
      <c r="I111" s="136">
        <f t="shared" si="60"/>
        <v>0</v>
      </c>
      <c r="J111" s="136">
        <f t="shared" si="60"/>
        <v>0</v>
      </c>
      <c r="K111" s="136">
        <f t="shared" si="60"/>
        <v>0</v>
      </c>
      <c r="L111" s="136">
        <f t="shared" si="60"/>
        <v>0</v>
      </c>
      <c r="M111" s="136">
        <f t="shared" si="60"/>
        <v>0</v>
      </c>
      <c r="N111" s="136">
        <f t="shared" si="60"/>
        <v>0</v>
      </c>
      <c r="O111" s="136">
        <f t="shared" si="60"/>
        <v>0</v>
      </c>
      <c r="P111" s="136">
        <f t="shared" si="60"/>
        <v>0</v>
      </c>
      <c r="Q111" s="136">
        <f t="shared" si="60"/>
        <v>0</v>
      </c>
      <c r="R111" s="137">
        <f t="shared" si="60"/>
        <v>0</v>
      </c>
      <c r="S111" s="136"/>
      <c r="T111" s="101" t="s">
        <v>118</v>
      </c>
      <c r="U111" s="139">
        <f>SUM(C111:R111)</f>
        <v>1428.12</v>
      </c>
    </row>
    <row r="112" spans="2:22" ht="15.75" thickBot="1" x14ac:dyDescent="0.3">
      <c r="B112" s="73" t="s">
        <v>60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121">
        <v>0</v>
      </c>
      <c r="R112" s="46">
        <v>0</v>
      </c>
      <c r="S112" s="105"/>
      <c r="T112" s="100" t="str">
        <f>'50% Exceedance Baseline'!T112</f>
        <v>Flow input between Mgt. Pt. 4 and Mgt. Pt. 5</v>
      </c>
    </row>
    <row r="113" spans="2:22" x14ac:dyDescent="0.25">
      <c r="B113" s="79" t="s">
        <v>7</v>
      </c>
      <c r="C113" s="16">
        <f>IF(C121&gt;C120,((C121-C120)*-1),((C120-C121)))</f>
        <v>331</v>
      </c>
      <c r="D113" s="16">
        <f t="shared" ref="D113" si="61">IF(D121&gt;D120,((D121-D120)*-1),((D120-D121)))</f>
        <v>214.5</v>
      </c>
      <c r="E113" s="16">
        <f>IF(E121&gt;E120,((E121-E120)*-1),((E120-E121)))</f>
        <v>221.5</v>
      </c>
      <c r="F113" s="16">
        <f t="shared" ref="F113:R113" si="62">IF(F121&gt;F120,((F121-F120)*-1),((F120-F121)))</f>
        <v>129.45736541999997</v>
      </c>
      <c r="G113" s="16">
        <f t="shared" si="62"/>
        <v>81.835946180000008</v>
      </c>
      <c r="H113" s="16">
        <f t="shared" si="62"/>
        <v>31.232952699999998</v>
      </c>
      <c r="I113" s="16">
        <f t="shared" si="62"/>
        <v>25.474097864960001</v>
      </c>
      <c r="J113" s="16">
        <f t="shared" si="62"/>
        <v>23.653335923200004</v>
      </c>
      <c r="K113" s="16">
        <f t="shared" si="62"/>
        <v>17.594320997650001</v>
      </c>
      <c r="L113" s="16">
        <f t="shared" si="62"/>
        <v>22.99267258910001</v>
      </c>
      <c r="M113" s="16">
        <f t="shared" si="62"/>
        <v>28.946797510695006</v>
      </c>
      <c r="N113" s="16">
        <f t="shared" si="62"/>
        <v>36.639287025779993</v>
      </c>
      <c r="O113" s="16">
        <f t="shared" si="62"/>
        <v>26.71504354999999</v>
      </c>
      <c r="P113" s="16">
        <f t="shared" si="62"/>
        <v>32.283645291999989</v>
      </c>
      <c r="Q113" s="16">
        <f t="shared" si="62"/>
        <v>32.871820435268006</v>
      </c>
      <c r="R113" s="14">
        <f t="shared" si="62"/>
        <v>53.898398730322</v>
      </c>
      <c r="S113" s="18"/>
      <c r="T113" s="100" t="str">
        <f>'50% Exceedance Baseline'!T113</f>
        <v>Flow target surplus or deficit after input</v>
      </c>
    </row>
    <row r="114" spans="2:22" s="11" customFormat="1" x14ac:dyDescent="0.25">
      <c r="B114" s="81" t="s">
        <v>24</v>
      </c>
      <c r="C114" s="18">
        <f>SUM(C106+C109+C112)</f>
        <v>0</v>
      </c>
      <c r="D114" s="18">
        <f t="shared" ref="D114:F114" si="63">SUM(D106+D109+D112)</f>
        <v>0</v>
      </c>
      <c r="E114" s="18">
        <f t="shared" si="63"/>
        <v>0</v>
      </c>
      <c r="F114" s="18">
        <f t="shared" si="63"/>
        <v>33</v>
      </c>
      <c r="G114" s="18">
        <f>SUM(G106+G109+G112)</f>
        <v>15</v>
      </c>
      <c r="H114" s="18">
        <f t="shared" ref="H114:N114" si="64">SUM(H106+H109+H112)</f>
        <v>0</v>
      </c>
      <c r="I114" s="18">
        <f t="shared" si="64"/>
        <v>0</v>
      </c>
      <c r="J114" s="18">
        <f t="shared" si="64"/>
        <v>0</v>
      </c>
      <c r="K114" s="18">
        <f t="shared" si="64"/>
        <v>0</v>
      </c>
      <c r="L114" s="18">
        <f t="shared" si="64"/>
        <v>0</v>
      </c>
      <c r="M114" s="18">
        <f t="shared" si="64"/>
        <v>0</v>
      </c>
      <c r="N114" s="18">
        <f t="shared" si="64"/>
        <v>0</v>
      </c>
      <c r="O114" s="18">
        <f>SUM(O106+O109+O112)</f>
        <v>0</v>
      </c>
      <c r="P114" s="18">
        <f>SUM(P106+P109+P112)</f>
        <v>0</v>
      </c>
      <c r="Q114" s="18">
        <f>SUM(Q106+Q109+Q112)</f>
        <v>0</v>
      </c>
      <c r="R114" s="17">
        <f>SUM(R106+R109+R112)</f>
        <v>0</v>
      </c>
      <c r="S114" s="18"/>
      <c r="T114" s="100" t="str">
        <f>'50% Exceedance Baseline'!T114</f>
        <v>Subtotal of all inputs in Beet Road to Detour Road reach</v>
      </c>
      <c r="U114" s="8"/>
    </row>
    <row r="115" spans="2:22" ht="15.75" thickBot="1" x14ac:dyDescent="0.3">
      <c r="B115" s="80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7"/>
      <c r="S115" s="18"/>
    </row>
    <row r="116" spans="2:22" s="64" customFormat="1" ht="15.75" thickBot="1" x14ac:dyDescent="0.3">
      <c r="B116" s="70" t="s">
        <v>69</v>
      </c>
      <c r="C116" s="82">
        <f>'50% Exceedance Baseline'!C116</f>
        <v>2.5000000000000001E-2</v>
      </c>
      <c r="D116" s="82">
        <f>'50% Exceedance Baseline'!D116</f>
        <v>2.5000000000000001E-2</v>
      </c>
      <c r="E116" s="82">
        <f>'50% Exceedance Baseline'!E116</f>
        <v>2.5000000000000001E-2</v>
      </c>
      <c r="F116" s="82">
        <f>'50% Exceedance Baseline'!F116</f>
        <v>2.5000000000000001E-2</v>
      </c>
      <c r="G116" s="82">
        <f>'50% Exceedance Baseline'!G116</f>
        <v>2.5000000000000001E-2</v>
      </c>
      <c r="H116" s="82">
        <f>'50% Exceedance Baseline'!H116</f>
        <v>2.5000000000000001E-2</v>
      </c>
      <c r="I116" s="82">
        <f>'50% Exceedance Baseline'!I116</f>
        <v>3.5999999999999997E-2</v>
      </c>
      <c r="J116" s="82">
        <f>'50% Exceedance Baseline'!J116</f>
        <v>3.5999999999999997E-2</v>
      </c>
      <c r="K116" s="69">
        <f>'50% Exceedance Baseline'!K116</f>
        <v>-6.0999999999999999E-2</v>
      </c>
      <c r="L116" s="69">
        <f>'50% Exceedance Baseline'!L116</f>
        <v>-6.0999999999999999E-2</v>
      </c>
      <c r="M116" s="69">
        <f>'50% Exceedance Baseline'!M116</f>
        <v>-8.9999999999999993E-3</v>
      </c>
      <c r="N116" s="69">
        <f>'50% Exceedance Baseline'!N116</f>
        <v>-8.9999999999999993E-3</v>
      </c>
      <c r="O116" s="69">
        <f>'50% Exceedance Baseline'!O116</f>
        <v>0.15</v>
      </c>
      <c r="P116" s="69">
        <f>'50% Exceedance Baseline'!P116</f>
        <v>0.15</v>
      </c>
      <c r="Q116" s="69">
        <f>'50% Exceedance Baseline'!Q116</f>
        <v>-0.11799999999999999</v>
      </c>
      <c r="R116" s="69">
        <f>'50% Exceedance Baseline'!R116</f>
        <v>-0.11799999999999999</v>
      </c>
      <c r="S116" s="106"/>
      <c r="T116" s="100" t="str">
        <f>'50% Exceedance Baseline'!T116</f>
        <v>Percentage total inputs lost or gained due to streambed hydrology (2002-2015 WWBWC seepage data)</v>
      </c>
      <c r="U116" s="83"/>
    </row>
    <row r="117" spans="2:22" s="26" customFormat="1" x14ac:dyDescent="0.25">
      <c r="B117" s="84" t="s">
        <v>20</v>
      </c>
      <c r="C117" s="57">
        <f>SUM(C114+C96)*(1+C116)</f>
        <v>0</v>
      </c>
      <c r="D117" s="57">
        <f t="shared" ref="D117:N117" si="65">SUM(D114+D96)*(1+D116)</f>
        <v>0</v>
      </c>
      <c r="E117" s="57">
        <f t="shared" si="65"/>
        <v>0</v>
      </c>
      <c r="F117" s="57">
        <f t="shared" si="65"/>
        <v>63.457365419999988</v>
      </c>
      <c r="G117" s="57">
        <f t="shared" si="65"/>
        <v>115.83594617999999</v>
      </c>
      <c r="H117" s="57">
        <f t="shared" si="65"/>
        <v>61.432952699999987</v>
      </c>
      <c r="I117" s="57">
        <f t="shared" si="65"/>
        <v>51.174097864960004</v>
      </c>
      <c r="J117" s="57">
        <f t="shared" si="65"/>
        <v>50.453335923200001</v>
      </c>
      <c r="K117" s="57">
        <f t="shared" si="65"/>
        <v>43.74432099765</v>
      </c>
      <c r="L117" s="57">
        <f t="shared" si="65"/>
        <v>45.592672589100005</v>
      </c>
      <c r="M117" s="57">
        <f t="shared" si="65"/>
        <v>43.046797510695001</v>
      </c>
      <c r="N117" s="57">
        <f t="shared" si="65"/>
        <v>43.689287025779997</v>
      </c>
      <c r="O117" s="57">
        <f>SUM(O114+O96)*(1+O116)</f>
        <v>46.71504354999999</v>
      </c>
      <c r="P117" s="122">
        <f>SUM(P114+P96)*(1+P116)</f>
        <v>48.583645291999993</v>
      </c>
      <c r="Q117" s="57">
        <f>SUM(Q114+Q96)*(1+Q116)</f>
        <v>36.871820435268006</v>
      </c>
      <c r="R117" s="68">
        <f>SUM(R114+R96)*(1+R116)</f>
        <v>26.198398730322001</v>
      </c>
      <c r="S117" s="110"/>
      <c r="T117" s="100" t="str">
        <f>'50% Exceedance Baseline'!T117</f>
        <v>Total of all upstream input flow adjusted for streambed loss or gain</v>
      </c>
      <c r="U117" s="25"/>
    </row>
    <row r="118" spans="2:22" ht="15.75" thickBot="1" x14ac:dyDescent="0.3">
      <c r="B118" s="7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3"/>
      <c r="S118" s="110"/>
    </row>
    <row r="119" spans="2:22" ht="16.5" thickBot="1" x14ac:dyDescent="0.3">
      <c r="B119" s="41" t="s">
        <v>56</v>
      </c>
      <c r="C119" s="123">
        <v>481</v>
      </c>
      <c r="D119" s="123">
        <v>364.5</v>
      </c>
      <c r="E119" s="123">
        <v>371.5</v>
      </c>
      <c r="F119" s="123">
        <v>216</v>
      </c>
      <c r="G119" s="123">
        <v>116</v>
      </c>
      <c r="H119" s="123">
        <v>69.8</v>
      </c>
      <c r="I119" s="123">
        <v>39.299999999999997</v>
      </c>
      <c r="J119" s="123">
        <v>38.200000000000003</v>
      </c>
      <c r="K119" s="123">
        <v>38.85</v>
      </c>
      <c r="L119" s="123">
        <v>42.4</v>
      </c>
      <c r="M119" s="123">
        <v>50.9</v>
      </c>
      <c r="N119" s="123">
        <v>57.95</v>
      </c>
      <c r="O119" s="123">
        <v>45</v>
      </c>
      <c r="P119" s="123">
        <v>48.7</v>
      </c>
      <c r="Q119" s="123">
        <v>61</v>
      </c>
      <c r="R119" s="123">
        <v>92.7</v>
      </c>
      <c r="S119" s="109"/>
      <c r="T119" s="100" t="str">
        <f>'50% Exceedance Baseline'!T119</f>
        <v>Median flow data at S-110 gage (2002-2016)</v>
      </c>
    </row>
    <row r="120" spans="2:22" x14ac:dyDescent="0.25">
      <c r="B120" s="47" t="s">
        <v>40</v>
      </c>
      <c r="C120" s="48">
        <f>C119+C117</f>
        <v>481</v>
      </c>
      <c r="D120" s="48">
        <f t="shared" ref="D120:E120" si="66">D119+D117</f>
        <v>364.5</v>
      </c>
      <c r="E120" s="48">
        <f t="shared" si="66"/>
        <v>371.5</v>
      </c>
      <c r="F120" s="48">
        <f>F119+F117</f>
        <v>279.45736541999997</v>
      </c>
      <c r="G120" s="48">
        <f t="shared" ref="G120:H120" si="67">G119+G117</f>
        <v>231.83594618000001</v>
      </c>
      <c r="H120" s="48">
        <f t="shared" si="67"/>
        <v>131.2329527</v>
      </c>
      <c r="I120" s="48">
        <f>I119+I117</f>
        <v>90.474097864960001</v>
      </c>
      <c r="J120" s="48">
        <f t="shared" ref="J120:N120" si="68">J119+J117</f>
        <v>88.653335923200004</v>
      </c>
      <c r="K120" s="48">
        <f t="shared" si="68"/>
        <v>82.594320997650001</v>
      </c>
      <c r="L120" s="48">
        <f t="shared" si="68"/>
        <v>87.99267258910001</v>
      </c>
      <c r="M120" s="48">
        <f t="shared" si="68"/>
        <v>93.946797510695006</v>
      </c>
      <c r="N120" s="48">
        <f t="shared" si="68"/>
        <v>101.63928702577999</v>
      </c>
      <c r="O120" s="48">
        <f>O119+O117</f>
        <v>91.71504354999999</v>
      </c>
      <c r="P120" s="48">
        <f>P119+P117</f>
        <v>97.283645291999989</v>
      </c>
      <c r="Q120" s="48">
        <f>Q119+Q117</f>
        <v>97.871820435268006</v>
      </c>
      <c r="R120" s="49">
        <f>R119+R117</f>
        <v>118.898398730322</v>
      </c>
      <c r="S120" s="111"/>
      <c r="T120" s="100" t="str">
        <f>'50% Exceedance Baseline'!T120</f>
        <v>Flow gage data plus cumulative inputs adjusted for streambed loss or gain</v>
      </c>
    </row>
    <row r="121" spans="2:22" x14ac:dyDescent="0.25">
      <c r="B121" s="10" t="s">
        <v>8</v>
      </c>
      <c r="C121" s="8">
        <f>$C$16</f>
        <v>150</v>
      </c>
      <c r="D121" s="8">
        <f>$D$16</f>
        <v>150</v>
      </c>
      <c r="E121" s="8">
        <f>$E$16</f>
        <v>150</v>
      </c>
      <c r="F121" s="8">
        <f>$F$16</f>
        <v>150</v>
      </c>
      <c r="G121" s="8">
        <f>$G$16</f>
        <v>150</v>
      </c>
      <c r="H121" s="8">
        <f>$H$16</f>
        <v>100</v>
      </c>
      <c r="I121" s="8">
        <f>$I$16</f>
        <v>65</v>
      </c>
      <c r="J121" s="8">
        <f>$J$16</f>
        <v>65</v>
      </c>
      <c r="K121" s="8">
        <f>$K$16</f>
        <v>65</v>
      </c>
      <c r="L121" s="8">
        <f>$L$16</f>
        <v>65</v>
      </c>
      <c r="M121" s="8">
        <f>$M$16</f>
        <v>65</v>
      </c>
      <c r="N121" s="8">
        <f>$N$16</f>
        <v>65</v>
      </c>
      <c r="O121" s="8">
        <f>$O$16</f>
        <v>65</v>
      </c>
      <c r="P121" s="8">
        <f>$P$16</f>
        <v>65</v>
      </c>
      <c r="Q121" s="8">
        <f>$Q$16</f>
        <v>65</v>
      </c>
      <c r="R121" s="9">
        <f>$R$16</f>
        <v>65</v>
      </c>
      <c r="S121" s="112"/>
      <c r="T121" s="100" t="str">
        <f>'50% Exceedance Baseline'!T121</f>
        <v>Target flows</v>
      </c>
    </row>
    <row r="122" spans="2:22" ht="15.75" thickBot="1" x14ac:dyDescent="0.3">
      <c r="B122" s="37" t="s">
        <v>14</v>
      </c>
      <c r="C122" s="38">
        <f>IF(C120&gt;C121,0,(C121-C120)*-1)</f>
        <v>0</v>
      </c>
      <c r="D122" s="38">
        <f t="shared" ref="D122:E122" si="69">IF(D120&gt;D121,0,(D121-D120)*-1)</f>
        <v>0</v>
      </c>
      <c r="E122" s="38">
        <f t="shared" si="69"/>
        <v>0</v>
      </c>
      <c r="F122" s="38">
        <f>IF(F120&gt;F121,0,(F121-F120)*-1)</f>
        <v>0</v>
      </c>
      <c r="G122" s="38">
        <f t="shared" ref="G122:N122" si="70">IF(G120&gt;G121,0,(G121-G120)*-1)</f>
        <v>0</v>
      </c>
      <c r="H122" s="38">
        <f>IF(H120&gt;H121,0,(H121-H120)*-1)</f>
        <v>0</v>
      </c>
      <c r="I122" s="38">
        <f t="shared" si="70"/>
        <v>0</v>
      </c>
      <c r="J122" s="38">
        <f t="shared" si="70"/>
        <v>0</v>
      </c>
      <c r="K122" s="38">
        <f t="shared" si="70"/>
        <v>0</v>
      </c>
      <c r="L122" s="38">
        <f t="shared" si="70"/>
        <v>0</v>
      </c>
      <c r="M122" s="38">
        <f t="shared" si="70"/>
        <v>0</v>
      </c>
      <c r="N122" s="38">
        <f t="shared" si="70"/>
        <v>0</v>
      </c>
      <c r="O122" s="38">
        <f>IF(O120&gt;O121,0,(O121-O120)*-1)</f>
        <v>0</v>
      </c>
      <c r="P122" s="38">
        <f>IF(P120&gt;P121,0,(P121-P120)*-1)</f>
        <v>0</v>
      </c>
      <c r="Q122" s="38">
        <f>IF(Q120&gt;Q121,0,(Q121-Q120)*-1)</f>
        <v>0</v>
      </c>
      <c r="R122" s="39">
        <f>IF(R120&gt;R121,0,(R121-R120)*-1)</f>
        <v>0</v>
      </c>
      <c r="S122" s="105"/>
      <c r="T122" s="100" t="str">
        <f>'50% Exceedance Baseline'!T122</f>
        <v>Deficit between target flows and flow gage data plus total adjusted inputs</v>
      </c>
    </row>
    <row r="123" spans="2:22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115"/>
    </row>
    <row r="124" spans="2:22" x14ac:dyDescent="0.25">
      <c r="B124" s="86" t="s">
        <v>18</v>
      </c>
      <c r="C124" s="99">
        <f>'50% Exceedance Baseline'!C124</f>
        <v>30</v>
      </c>
      <c r="D124" s="99">
        <f>'50% Exceedance Baseline'!D124</f>
        <v>30</v>
      </c>
      <c r="E124" s="99">
        <f>'50% Exceedance Baseline'!E124</f>
        <v>30</v>
      </c>
      <c r="F124" s="99">
        <f>'50% Exceedance Baseline'!F124</f>
        <v>30</v>
      </c>
      <c r="G124" s="99">
        <f>'50% Exceedance Baseline'!G124</f>
        <v>30</v>
      </c>
      <c r="H124" s="99">
        <f>'50% Exceedance Baseline'!H124</f>
        <v>30</v>
      </c>
      <c r="I124" s="99">
        <f>'50% Exceedance Baseline'!I124</f>
        <v>18</v>
      </c>
      <c r="J124" s="99">
        <f>'50% Exceedance Baseline'!J124</f>
        <v>22</v>
      </c>
      <c r="K124" s="99">
        <f>'50% Exceedance Baseline'!K124</f>
        <v>22</v>
      </c>
      <c r="L124" s="99">
        <f>'50% Exceedance Baseline'!L124</f>
        <v>22</v>
      </c>
      <c r="M124" s="99">
        <f>'50% Exceedance Baseline'!M124</f>
        <v>25</v>
      </c>
      <c r="N124" s="99">
        <f>'50% Exceedance Baseline'!N124</f>
        <v>25</v>
      </c>
      <c r="O124" s="99">
        <f>'50% Exceedance Baseline'!O124</f>
        <v>0</v>
      </c>
      <c r="P124" s="99">
        <f>'50% Exceedance Baseline'!P124</f>
        <v>0</v>
      </c>
      <c r="Q124" s="99">
        <f>'50% Exceedance Baseline'!Q124</f>
        <v>30</v>
      </c>
      <c r="R124" s="99">
        <f>'50% Exceedance Baseline'!R124</f>
        <v>30</v>
      </c>
      <c r="S124" s="116"/>
    </row>
    <row r="125" spans="2:22" x14ac:dyDescent="0.25">
      <c r="B125" s="86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117"/>
    </row>
    <row r="126" spans="2:22" ht="15.75" thickBot="1" x14ac:dyDescent="0.3">
      <c r="B126" s="65" t="s">
        <v>66</v>
      </c>
      <c r="C126" s="140">
        <f>IF(C127&gt;0,2,0)</f>
        <v>0</v>
      </c>
      <c r="D126" s="140">
        <f t="shared" ref="D126:R126" si="71">IF(D127&gt;0,2,0)</f>
        <v>0</v>
      </c>
      <c r="E126" s="140">
        <f t="shared" si="71"/>
        <v>0</v>
      </c>
      <c r="F126" s="140">
        <f t="shared" si="71"/>
        <v>2</v>
      </c>
      <c r="G126" s="140">
        <f t="shared" si="71"/>
        <v>2</v>
      </c>
      <c r="H126" s="140">
        <f t="shared" si="71"/>
        <v>2</v>
      </c>
      <c r="I126" s="140">
        <f t="shared" si="71"/>
        <v>2</v>
      </c>
      <c r="J126" s="140">
        <f t="shared" si="71"/>
        <v>2</v>
      </c>
      <c r="K126" s="140">
        <f t="shared" si="71"/>
        <v>2</v>
      </c>
      <c r="L126" s="140">
        <f t="shared" si="71"/>
        <v>2</v>
      </c>
      <c r="M126" s="140">
        <f t="shared" si="71"/>
        <v>2</v>
      </c>
      <c r="N126" s="140">
        <f t="shared" si="71"/>
        <v>2</v>
      </c>
      <c r="O126" s="140">
        <f t="shared" si="71"/>
        <v>2</v>
      </c>
      <c r="P126" s="140">
        <f t="shared" si="71"/>
        <v>2</v>
      </c>
      <c r="Q126" s="140">
        <f t="shared" si="71"/>
        <v>2</v>
      </c>
      <c r="R126" s="140">
        <f t="shared" si="71"/>
        <v>0</v>
      </c>
      <c r="S126" s="27"/>
      <c r="T126" s="101" t="s">
        <v>118</v>
      </c>
      <c r="U126" s="139">
        <f>SUM(C126:R126)*15*1.9835</f>
        <v>714.06000000000006</v>
      </c>
      <c r="V126" s="11" t="s">
        <v>124</v>
      </c>
    </row>
    <row r="127" spans="2:22" ht="15.75" thickBot="1" x14ac:dyDescent="0.3">
      <c r="B127" s="72" t="s">
        <v>113</v>
      </c>
      <c r="C127" s="46">
        <v>0</v>
      </c>
      <c r="D127" s="46">
        <v>0</v>
      </c>
      <c r="E127" s="46">
        <v>0</v>
      </c>
      <c r="F127" s="46">
        <v>30</v>
      </c>
      <c r="G127" s="46">
        <v>30</v>
      </c>
      <c r="H127" s="46">
        <v>30</v>
      </c>
      <c r="I127" s="46">
        <v>4</v>
      </c>
      <c r="J127" s="46">
        <v>6</v>
      </c>
      <c r="K127" s="46">
        <v>22</v>
      </c>
      <c r="L127" s="46">
        <v>22</v>
      </c>
      <c r="M127" s="46">
        <v>3</v>
      </c>
      <c r="N127" s="46">
        <v>1</v>
      </c>
      <c r="O127" s="46">
        <v>4</v>
      </c>
      <c r="P127" s="46">
        <v>3</v>
      </c>
      <c r="Q127" s="46">
        <v>1</v>
      </c>
      <c r="R127" s="46">
        <v>0</v>
      </c>
      <c r="S127" s="105"/>
      <c r="T127" s="100" t="str">
        <f>'50% Exceedance Baseline'!T127</f>
        <v>Flow input between Mgt. Pt. 5 and Mgt. Pt. 6</v>
      </c>
    </row>
    <row r="128" spans="2:22" x14ac:dyDescent="0.25">
      <c r="B128" s="79" t="s">
        <v>7</v>
      </c>
      <c r="C128" s="16">
        <f>IF(C142&gt;C141,((C142-C141)*-1),((C141-C142)))</f>
        <v>158.56458739999999</v>
      </c>
      <c r="D128" s="16">
        <f t="shared" ref="D128:E128" si="72">IF(D142&gt;D141,((D142-D141)*-1),((D141-D142)))</f>
        <v>38.865621000000004</v>
      </c>
      <c r="E128" s="16">
        <f t="shared" si="72"/>
        <v>11.087229799999989</v>
      </c>
      <c r="F128" s="16">
        <f>IF(F142&gt;F141,((F142-F141)*-1),((F141-F142)))</f>
        <v>0.90599504907999062</v>
      </c>
      <c r="G128" s="16">
        <f>IF(G142&gt;G141,((G142-G141)*-1),((G141-G142)))</f>
        <v>1.3853509320000512E-2</v>
      </c>
      <c r="H128" s="16">
        <f t="shared" ref="H128:R128" si="73">IF(H142&gt;H141,((H142-H141)*-1),((H141-H142)))</f>
        <v>-3.5495558582000228</v>
      </c>
      <c r="I128" s="16">
        <f t="shared" si="73"/>
        <v>0.18523936047104428</v>
      </c>
      <c r="J128" s="16">
        <f t="shared" si="73"/>
        <v>0.7988124191968069</v>
      </c>
      <c r="K128" s="16">
        <f t="shared" si="73"/>
        <v>7.0972099388121421</v>
      </c>
      <c r="L128" s="16">
        <f t="shared" si="73"/>
        <v>8.5258437604521049</v>
      </c>
      <c r="M128" s="16">
        <f t="shared" si="73"/>
        <v>1.1129534524570488</v>
      </c>
      <c r="N128" s="16">
        <f t="shared" si="73"/>
        <v>7.1582491001180415E-2</v>
      </c>
      <c r="O128" s="16">
        <f t="shared" si="73"/>
        <v>0.83807865504999768</v>
      </c>
      <c r="P128" s="16">
        <f t="shared" si="73"/>
        <v>0.62191423685199254</v>
      </c>
      <c r="Q128" s="16">
        <f t="shared" si="73"/>
        <v>0.5299980852345243</v>
      </c>
      <c r="R128" s="14">
        <f t="shared" si="73"/>
        <v>19.643966277929792</v>
      </c>
      <c r="S128" s="18"/>
      <c r="T128" s="100" t="str">
        <f>'50% Exceedance Baseline'!T128</f>
        <v>Flow target surplus or deficit after input</v>
      </c>
    </row>
    <row r="129" spans="2:21" ht="15.75" thickBot="1" x14ac:dyDescent="0.3">
      <c r="B129" s="135" t="s">
        <v>115</v>
      </c>
      <c r="C129" s="136">
        <f t="shared" ref="C129:R129" si="74">C127*15*1.9835</f>
        <v>0</v>
      </c>
      <c r="D129" s="136">
        <f t="shared" si="74"/>
        <v>0</v>
      </c>
      <c r="E129" s="136">
        <f t="shared" si="74"/>
        <v>0</v>
      </c>
      <c r="F129" s="136">
        <f t="shared" si="74"/>
        <v>892.57500000000005</v>
      </c>
      <c r="G129" s="136">
        <f>G127*15*1.9835</f>
        <v>892.57500000000005</v>
      </c>
      <c r="H129" s="136">
        <f t="shared" si="74"/>
        <v>892.57500000000005</v>
      </c>
      <c r="I129" s="136">
        <f>I127*15*1.9835</f>
        <v>119.01</v>
      </c>
      <c r="J129" s="136">
        <f t="shared" si="74"/>
        <v>178.51500000000001</v>
      </c>
      <c r="K129" s="136">
        <f t="shared" si="74"/>
        <v>654.55500000000006</v>
      </c>
      <c r="L129" s="136">
        <f t="shared" si="74"/>
        <v>654.55500000000006</v>
      </c>
      <c r="M129" s="136">
        <f t="shared" si="74"/>
        <v>89.257500000000007</v>
      </c>
      <c r="N129" s="136">
        <f t="shared" si="74"/>
        <v>29.752500000000001</v>
      </c>
      <c r="O129" s="136">
        <f t="shared" si="74"/>
        <v>119.01</v>
      </c>
      <c r="P129" s="136">
        <f t="shared" si="74"/>
        <v>89.257500000000007</v>
      </c>
      <c r="Q129" s="136">
        <f t="shared" si="74"/>
        <v>29.752500000000001</v>
      </c>
      <c r="R129" s="137">
        <f t="shared" si="74"/>
        <v>0</v>
      </c>
      <c r="S129" s="136"/>
      <c r="T129" s="101" t="s">
        <v>118</v>
      </c>
      <c r="U129" s="139">
        <f>SUM(C129:R129)</f>
        <v>4641.3899999999994</v>
      </c>
    </row>
    <row r="130" spans="2:21" ht="15.75" thickBot="1" x14ac:dyDescent="0.3">
      <c r="B130" s="73" t="s">
        <v>6</v>
      </c>
      <c r="C130" s="46">
        <v>0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121">
        <v>0</v>
      </c>
      <c r="R130" s="46">
        <v>0</v>
      </c>
      <c r="S130" s="105"/>
      <c r="T130" s="100" t="str">
        <f>'50% Exceedance Baseline'!T130</f>
        <v>Flow input between Mgt. Pt. 5 and Mgt. Pt. 6</v>
      </c>
    </row>
    <row r="131" spans="2:21" x14ac:dyDescent="0.25">
      <c r="B131" s="79" t="s">
        <v>7</v>
      </c>
      <c r="C131" s="16">
        <f>IF(C142&gt;C141,((C142-C141)*-1),((C141-C142)))</f>
        <v>158.56458739999999</v>
      </c>
      <c r="D131" s="16">
        <f t="shared" ref="D131:R131" si="75">IF(D142&gt;D141,((D142-D141)*-1),((D141-D142)))</f>
        <v>38.865621000000004</v>
      </c>
      <c r="E131" s="16">
        <f t="shared" si="75"/>
        <v>11.087229799999989</v>
      </c>
      <c r="F131" s="16">
        <f t="shared" si="75"/>
        <v>0.90599504907999062</v>
      </c>
      <c r="G131" s="16">
        <f t="shared" si="75"/>
        <v>1.3853509320000512E-2</v>
      </c>
      <c r="H131" s="16">
        <f t="shared" si="75"/>
        <v>-3.5495558582000228</v>
      </c>
      <c r="I131" s="16">
        <f t="shared" si="75"/>
        <v>0.18523936047104428</v>
      </c>
      <c r="J131" s="16">
        <f t="shared" si="75"/>
        <v>0.7988124191968069</v>
      </c>
      <c r="K131" s="16">
        <f t="shared" si="75"/>
        <v>7.0972099388121421</v>
      </c>
      <c r="L131" s="16">
        <f t="shared" si="75"/>
        <v>8.5258437604521049</v>
      </c>
      <c r="M131" s="16">
        <f t="shared" si="75"/>
        <v>1.1129534524570488</v>
      </c>
      <c r="N131" s="16">
        <f t="shared" si="75"/>
        <v>7.1582491001180415E-2</v>
      </c>
      <c r="O131" s="16">
        <f t="shared" si="75"/>
        <v>0.83807865504999768</v>
      </c>
      <c r="P131" s="16">
        <f t="shared" si="75"/>
        <v>0.62191423685199254</v>
      </c>
      <c r="Q131" s="16">
        <f t="shared" si="75"/>
        <v>0.5299980852345243</v>
      </c>
      <c r="R131" s="14">
        <f t="shared" si="75"/>
        <v>19.643966277929792</v>
      </c>
      <c r="S131" s="18"/>
      <c r="T131" s="100" t="str">
        <f>'50% Exceedance Baseline'!T131</f>
        <v>Flow target surplus or deficit after input</v>
      </c>
    </row>
    <row r="132" spans="2:21" s="138" customFormat="1" ht="15.75" thickBot="1" x14ac:dyDescent="0.3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7"/>
      <c r="S132" s="136"/>
      <c r="T132" s="101"/>
      <c r="U132" s="139"/>
    </row>
    <row r="133" spans="2:21" ht="15.75" thickBot="1" x14ac:dyDescent="0.3">
      <c r="B133" s="73" t="s">
        <v>60</v>
      </c>
      <c r="C133" s="46">
        <v>0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121">
        <v>0</v>
      </c>
      <c r="R133" s="46">
        <v>0</v>
      </c>
      <c r="S133" s="105"/>
      <c r="T133" s="100" t="str">
        <f>'50% Exceedance Baseline'!T133</f>
        <v>Flow input between Mgt. Pt. 5 and Mgt. Pt. 6</v>
      </c>
    </row>
    <row r="134" spans="2:21" x14ac:dyDescent="0.25">
      <c r="B134" s="79" t="s">
        <v>7</v>
      </c>
      <c r="C134" s="16">
        <f>IF(C142&gt;C141,((C142-C141)*-1),((C141-C142)))</f>
        <v>158.56458739999999</v>
      </c>
      <c r="D134" s="16">
        <f t="shared" ref="D134:R134" si="76">IF(D142&gt;D141,((D142-D141)*-1),((D141-D142)))</f>
        <v>38.865621000000004</v>
      </c>
      <c r="E134" s="16">
        <f>IF(E142&gt;E141,((E142-E141)*-1),((E141-E142)))</f>
        <v>11.087229799999989</v>
      </c>
      <c r="F134" s="16">
        <f t="shared" si="76"/>
        <v>0.90599504907999062</v>
      </c>
      <c r="G134" s="16">
        <f t="shared" si="76"/>
        <v>1.3853509320000512E-2</v>
      </c>
      <c r="H134" s="16">
        <f t="shared" si="76"/>
        <v>-3.5495558582000228</v>
      </c>
      <c r="I134" s="16">
        <f t="shared" si="76"/>
        <v>0.18523936047104428</v>
      </c>
      <c r="J134" s="16">
        <f t="shared" si="76"/>
        <v>0.7988124191968069</v>
      </c>
      <c r="K134" s="16">
        <f t="shared" si="76"/>
        <v>7.0972099388121421</v>
      </c>
      <c r="L134" s="16">
        <f t="shared" si="76"/>
        <v>8.5258437604521049</v>
      </c>
      <c r="M134" s="16">
        <f t="shared" si="76"/>
        <v>1.1129534524570488</v>
      </c>
      <c r="N134" s="16">
        <f t="shared" si="76"/>
        <v>7.1582491001180415E-2</v>
      </c>
      <c r="O134" s="16">
        <f t="shared" si="76"/>
        <v>0.83807865504999768</v>
      </c>
      <c r="P134" s="16">
        <f t="shared" si="76"/>
        <v>0.62191423685199254</v>
      </c>
      <c r="Q134" s="16">
        <f t="shared" si="76"/>
        <v>0.5299980852345243</v>
      </c>
      <c r="R134" s="14">
        <f t="shared" si="76"/>
        <v>19.643966277929792</v>
      </c>
      <c r="S134" s="18"/>
      <c r="T134" s="100" t="str">
        <f>'50% Exceedance Baseline'!T134</f>
        <v>Flow target surplus or deficit after input</v>
      </c>
    </row>
    <row r="135" spans="2:21" s="32" customFormat="1" x14ac:dyDescent="0.25">
      <c r="B135" s="81" t="s">
        <v>25</v>
      </c>
      <c r="C135" s="18">
        <f t="shared" ref="C135:F135" si="77">SUM(C127+C130+C133)</f>
        <v>0</v>
      </c>
      <c r="D135" s="18">
        <f t="shared" si="77"/>
        <v>0</v>
      </c>
      <c r="E135" s="18">
        <f t="shared" si="77"/>
        <v>0</v>
      </c>
      <c r="F135" s="18">
        <f t="shared" si="77"/>
        <v>30</v>
      </c>
      <c r="G135" s="18">
        <f>SUM(G127+G130+G133)</f>
        <v>30</v>
      </c>
      <c r="H135" s="18">
        <f t="shared" ref="H135:N135" si="78">SUM(H127+H130+H133)</f>
        <v>30</v>
      </c>
      <c r="I135" s="18">
        <f t="shared" si="78"/>
        <v>4</v>
      </c>
      <c r="J135" s="18">
        <f t="shared" si="78"/>
        <v>6</v>
      </c>
      <c r="K135" s="18">
        <f t="shared" si="78"/>
        <v>22</v>
      </c>
      <c r="L135" s="18">
        <f t="shared" si="78"/>
        <v>22</v>
      </c>
      <c r="M135" s="18">
        <f t="shared" si="78"/>
        <v>3</v>
      </c>
      <c r="N135" s="18">
        <f t="shared" si="78"/>
        <v>1</v>
      </c>
      <c r="O135" s="18">
        <f>SUM(O127+O130+O133)</f>
        <v>4</v>
      </c>
      <c r="P135" s="18">
        <f>SUM(P127+P130+P133)</f>
        <v>3</v>
      </c>
      <c r="Q135" s="18">
        <f>SUM(Q127+Q130+Q133)</f>
        <v>1</v>
      </c>
      <c r="R135" s="17">
        <f>SUM(R127+R130+R133)</f>
        <v>0</v>
      </c>
      <c r="S135" s="18"/>
      <c r="T135" s="100" t="str">
        <f>'50% Exceedance Baseline'!T135</f>
        <v>Subtotal of all inputs in Detour Road to McDonald Road reach</v>
      </c>
      <c r="U135" s="31"/>
    </row>
    <row r="136" spans="2:21" s="26" customFormat="1" ht="15.75" thickBot="1" x14ac:dyDescent="0.3">
      <c r="B136" s="80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7"/>
      <c r="S136" s="18"/>
      <c r="T136" s="100"/>
      <c r="U136" s="25"/>
    </row>
    <row r="137" spans="2:21" s="64" customFormat="1" ht="15.75" thickBot="1" x14ac:dyDescent="0.3">
      <c r="B137" s="70" t="s">
        <v>69</v>
      </c>
      <c r="C137" s="69">
        <f>'50% Exceedance Baseline'!C137</f>
        <v>-2.5999999999999999E-2</v>
      </c>
      <c r="D137" s="69">
        <f>'50% Exceedance Baseline'!D137</f>
        <v>-2.5999999999999999E-2</v>
      </c>
      <c r="E137" s="69">
        <f>'50% Exceedance Baseline'!E137</f>
        <v>-2.5999999999999999E-2</v>
      </c>
      <c r="F137" s="69">
        <f>'50% Exceedance Baseline'!F137</f>
        <v>-2.5999999999999999E-2</v>
      </c>
      <c r="G137" s="69">
        <f>'50% Exceedance Baseline'!G137</f>
        <v>-2.5999999999999999E-2</v>
      </c>
      <c r="H137" s="69">
        <f>'50% Exceedance Baseline'!H137</f>
        <v>-2.5999999999999999E-2</v>
      </c>
      <c r="I137" s="69">
        <f>'50% Exceedance Baseline'!I137</f>
        <v>-2.5999999999999999E-2</v>
      </c>
      <c r="J137" s="69">
        <f>'50% Exceedance Baseline'!J137</f>
        <v>-2.5999999999999999E-2</v>
      </c>
      <c r="K137" s="69">
        <f>'50% Exceedance Baseline'!K137</f>
        <v>-6.9000000000000006E-2</v>
      </c>
      <c r="L137" s="69">
        <f>'50% Exceedance Baseline'!L137</f>
        <v>-6.9000000000000006E-2</v>
      </c>
      <c r="M137" s="69">
        <f>'50% Exceedance Baseline'!M137</f>
        <v>-6.9000000000000006E-2</v>
      </c>
      <c r="N137" s="69">
        <f>'50% Exceedance Baseline'!N137</f>
        <v>-6.9000000000000006E-2</v>
      </c>
      <c r="O137" s="69">
        <f>'50% Exceedance Baseline'!O137</f>
        <v>-6.9000000000000006E-2</v>
      </c>
      <c r="P137" s="69">
        <f>'50% Exceedance Baseline'!P137</f>
        <v>-6.9000000000000006E-2</v>
      </c>
      <c r="Q137" s="69">
        <f>'50% Exceedance Baseline'!Q137</f>
        <v>-6.9000000000000006E-2</v>
      </c>
      <c r="R137" s="69">
        <f>'50% Exceedance Baseline'!R137</f>
        <v>-6.9000000000000006E-2</v>
      </c>
      <c r="S137" s="107"/>
      <c r="T137" s="100" t="str">
        <f>'50% Exceedance Baseline'!T137</f>
        <v>Percentage total inputs lost or gained due to streambed hydrology (2002-2015 WWBWC seepage data); estimated current rates reduced by 10% to reflect assumed seepage reductions from future projects</v>
      </c>
      <c r="U137" s="83"/>
    </row>
    <row r="138" spans="2:21" s="26" customFormat="1" x14ac:dyDescent="0.25">
      <c r="B138" s="84" t="s">
        <v>20</v>
      </c>
      <c r="C138" s="57">
        <f>SUM(C135+C117)*(1+C137)</f>
        <v>0</v>
      </c>
      <c r="D138" s="57">
        <f t="shared" ref="D138:N138" si="79">SUM(D135+D117)*(1+D137)</f>
        <v>0</v>
      </c>
      <c r="E138" s="57">
        <f t="shared" si="79"/>
        <v>0</v>
      </c>
      <c r="F138" s="57">
        <f t="shared" si="79"/>
        <v>91.027473919079981</v>
      </c>
      <c r="G138" s="57">
        <f t="shared" si="79"/>
        <v>142.04421157932001</v>
      </c>
      <c r="H138" s="57">
        <f t="shared" si="79"/>
        <v>89.055695929799981</v>
      </c>
      <c r="I138" s="57">
        <f t="shared" si="79"/>
        <v>53.739571320471043</v>
      </c>
      <c r="J138" s="57">
        <f t="shared" si="79"/>
        <v>54.985549189196803</v>
      </c>
      <c r="K138" s="57">
        <f t="shared" si="79"/>
        <v>61.207962848812144</v>
      </c>
      <c r="L138" s="57">
        <f t="shared" si="79"/>
        <v>62.928778180452106</v>
      </c>
      <c r="M138" s="57">
        <f t="shared" si="79"/>
        <v>42.869568482457048</v>
      </c>
      <c r="N138" s="57">
        <f t="shared" si="79"/>
        <v>41.605726221001177</v>
      </c>
      <c r="O138" s="57">
        <f>SUM(O135+O117)*(1+O137)</f>
        <v>47.215705545049993</v>
      </c>
      <c r="P138" s="122">
        <f>SUM(P135+P117)*(1+P137)</f>
        <v>48.024373766851994</v>
      </c>
      <c r="Q138" s="57">
        <f>SUM(Q135+Q117)*(1+Q137)</f>
        <v>35.258664825234519</v>
      </c>
      <c r="R138" s="68">
        <f>SUM(R135+R117)*(1+R137)</f>
        <v>24.390709217929786</v>
      </c>
      <c r="S138" s="110"/>
      <c r="T138" s="100" t="str">
        <f>'50% Exceedance Baseline'!T138</f>
        <v>Total of all upstream input flow adjusted for streambed loss or gain</v>
      </c>
      <c r="U138" s="25"/>
    </row>
    <row r="139" spans="2:21" ht="15.75" thickBot="1" x14ac:dyDescent="0.3">
      <c r="B139" s="71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3"/>
      <c r="S139" s="110"/>
    </row>
    <row r="140" spans="2:21" ht="15.75" thickBot="1" x14ac:dyDescent="0.3">
      <c r="B140" s="42" t="s">
        <v>57</v>
      </c>
      <c r="C140" s="123">
        <f>'50% Exceedance Baseline'!C140</f>
        <v>308.56458739999999</v>
      </c>
      <c r="D140" s="123">
        <f>'50% Exceedance Baseline'!D140</f>
        <v>188.865621</v>
      </c>
      <c r="E140" s="123">
        <f>'50% Exceedance Baseline'!E140</f>
        <v>161.08722979999999</v>
      </c>
      <c r="F140" s="123">
        <f>'50% Exceedance Baseline'!F140</f>
        <v>59.878521130000003</v>
      </c>
      <c r="G140" s="123">
        <f>'50% Exceedance Baseline'!G140</f>
        <v>7.9696419299999999</v>
      </c>
      <c r="H140" s="123">
        <f>'50% Exceedance Baseline'!H140</f>
        <v>7.3947482119999997</v>
      </c>
      <c r="I140" s="123">
        <f>'50% Exceedance Baseline'!I140</f>
        <v>11.445668039999999</v>
      </c>
      <c r="J140" s="123">
        <f>'50% Exceedance Baseline'!J140</f>
        <v>10.81326323</v>
      </c>
      <c r="K140" s="123">
        <f>'50% Exceedance Baseline'!K140</f>
        <v>10.88924709</v>
      </c>
      <c r="L140" s="123">
        <f>'50% Exceedance Baseline'!L140</f>
        <v>10.597065580000001</v>
      </c>
      <c r="M140" s="123">
        <f>'50% Exceedance Baseline'!M140</f>
        <v>23.243384970000001</v>
      </c>
      <c r="N140" s="123">
        <f>'50% Exceedance Baseline'!N140</f>
        <v>23.46585627</v>
      </c>
      <c r="O140" s="123">
        <f>'50% Exceedance Baseline'!O140</f>
        <v>18.622373110000002</v>
      </c>
      <c r="P140" s="123">
        <f>'50% Exceedance Baseline'!P140</f>
        <v>17.597540469999998</v>
      </c>
      <c r="Q140" s="123">
        <f>'50% Exceedance Baseline'!Q140</f>
        <v>30.271333259999999</v>
      </c>
      <c r="R140" s="123">
        <f>'50% Exceedance Baseline'!R140</f>
        <v>60.253257060000003</v>
      </c>
      <c r="S140" s="19"/>
      <c r="T140" s="100" t="str">
        <f>'50% Exceedance Baseline'!T140</f>
        <v>Median flow data at S-119 gage (2013-2016)</v>
      </c>
    </row>
    <row r="141" spans="2:21" x14ac:dyDescent="0.25">
      <c r="B141" s="47" t="s">
        <v>41</v>
      </c>
      <c r="C141" s="48">
        <f>C140+C138</f>
        <v>308.56458739999999</v>
      </c>
      <c r="D141" s="48">
        <f t="shared" ref="D141:E141" si="80">D140+D138</f>
        <v>188.865621</v>
      </c>
      <c r="E141" s="48">
        <f t="shared" si="80"/>
        <v>161.08722979999999</v>
      </c>
      <c r="F141" s="48">
        <f>F140+F138</f>
        <v>150.90599504907999</v>
      </c>
      <c r="G141" s="48">
        <f t="shared" ref="G141:H141" si="81">G140+G138</f>
        <v>150.01385350932</v>
      </c>
      <c r="H141" s="48">
        <f t="shared" si="81"/>
        <v>96.450444141799977</v>
      </c>
      <c r="I141" s="48">
        <f>I140+I138</f>
        <v>65.185239360471044</v>
      </c>
      <c r="J141" s="48">
        <f t="shared" ref="J141:N141" si="82">J140+J138</f>
        <v>65.798812419196807</v>
      </c>
      <c r="K141" s="48">
        <f t="shared" si="82"/>
        <v>72.097209938812142</v>
      </c>
      <c r="L141" s="48">
        <f t="shared" si="82"/>
        <v>73.525843760452105</v>
      </c>
      <c r="M141" s="48">
        <f t="shared" si="82"/>
        <v>66.112953452457049</v>
      </c>
      <c r="N141" s="48">
        <f t="shared" si="82"/>
        <v>65.07158249100118</v>
      </c>
      <c r="O141" s="48">
        <f>O140+O138</f>
        <v>65.838078655049998</v>
      </c>
      <c r="P141" s="48">
        <f>P140+P138</f>
        <v>65.621914236851993</v>
      </c>
      <c r="Q141" s="48">
        <f>Q140+Q138</f>
        <v>65.529998085234524</v>
      </c>
      <c r="R141" s="49">
        <f>R140+R138</f>
        <v>84.643966277929792</v>
      </c>
      <c r="S141" s="111"/>
      <c r="T141" s="100" t="str">
        <f>'50% Exceedance Baseline'!T141</f>
        <v>Flow gage data plus cumulative inputs adjusted for streambed loss or gain</v>
      </c>
    </row>
    <row r="142" spans="2:21" x14ac:dyDescent="0.25">
      <c r="B142" s="10" t="s">
        <v>8</v>
      </c>
      <c r="C142" s="8">
        <f>$C$16</f>
        <v>150</v>
      </c>
      <c r="D142" s="8">
        <f>$D$16</f>
        <v>150</v>
      </c>
      <c r="E142" s="8">
        <f>$E$16</f>
        <v>150</v>
      </c>
      <c r="F142" s="8">
        <f>$F$16</f>
        <v>150</v>
      </c>
      <c r="G142" s="8">
        <f>$G$16</f>
        <v>150</v>
      </c>
      <c r="H142" s="8">
        <f>$H$16</f>
        <v>100</v>
      </c>
      <c r="I142" s="8">
        <f>$I$16</f>
        <v>65</v>
      </c>
      <c r="J142" s="8">
        <f>$J$16</f>
        <v>65</v>
      </c>
      <c r="K142" s="8">
        <f>$K$16</f>
        <v>65</v>
      </c>
      <c r="L142" s="8">
        <f>$L$16</f>
        <v>65</v>
      </c>
      <c r="M142" s="8">
        <f>$M$16</f>
        <v>65</v>
      </c>
      <c r="N142" s="8">
        <f>$N$16</f>
        <v>65</v>
      </c>
      <c r="O142" s="8">
        <f>$O$16</f>
        <v>65</v>
      </c>
      <c r="P142" s="8">
        <f>$P$16</f>
        <v>65</v>
      </c>
      <c r="Q142" s="8">
        <f>$Q$16</f>
        <v>65</v>
      </c>
      <c r="R142" s="9">
        <f>$R$16</f>
        <v>65</v>
      </c>
      <c r="S142" s="112"/>
      <c r="T142" s="100" t="str">
        <f>'50% Exceedance Baseline'!T142</f>
        <v>Target flows</v>
      </c>
    </row>
    <row r="143" spans="2:21" ht="15.75" thickBot="1" x14ac:dyDescent="0.3">
      <c r="B143" s="37" t="s">
        <v>15</v>
      </c>
      <c r="C143" s="38">
        <f>IF(C141&gt;C142,0,(C142-C141)*-1)</f>
        <v>0</v>
      </c>
      <c r="D143" s="38">
        <f t="shared" ref="D143:E143" si="83">IF(D141&gt;D142,0,(D142-D141)*-1)</f>
        <v>0</v>
      </c>
      <c r="E143" s="38">
        <f t="shared" si="83"/>
        <v>0</v>
      </c>
      <c r="F143" s="38">
        <f>IF(F141&gt;F142,0,(F142-F141)*-1)</f>
        <v>0</v>
      </c>
      <c r="G143" s="38">
        <f t="shared" ref="G143" si="84">IF(G141&gt;G142,0,(G142-G141)*-1)</f>
        <v>0</v>
      </c>
      <c r="H143" s="38">
        <f>IF(H141&gt;H142,0,(H142-H141)*-1)</f>
        <v>-3.5495558582000228</v>
      </c>
      <c r="I143" s="38">
        <f t="shared" ref="I143:N143" si="85">IF(I141&gt;I142,0,(I142-I141)*-1)</f>
        <v>0</v>
      </c>
      <c r="J143" s="38">
        <f t="shared" si="85"/>
        <v>0</v>
      </c>
      <c r="K143" s="38">
        <f t="shared" si="85"/>
        <v>0</v>
      </c>
      <c r="L143" s="38">
        <f t="shared" si="85"/>
        <v>0</v>
      </c>
      <c r="M143" s="38">
        <f t="shared" si="85"/>
        <v>0</v>
      </c>
      <c r="N143" s="38">
        <f t="shared" si="85"/>
        <v>0</v>
      </c>
      <c r="O143" s="38">
        <f>IF(O141&gt;O142,0,(O142-O141)*-1)</f>
        <v>0</v>
      </c>
      <c r="P143" s="38">
        <f>IF(P141&gt;P142,0,(P142-P141)*-1)</f>
        <v>0</v>
      </c>
      <c r="Q143" s="38">
        <f>IF(Q141&gt;Q142,0,(Q142-Q141)*-1)</f>
        <v>0</v>
      </c>
      <c r="R143" s="39">
        <f>IF(R141&gt;R142,0,(R142-R141)*-1)</f>
        <v>0</v>
      </c>
      <c r="S143" s="105"/>
      <c r="T143" s="100" t="str">
        <f>'50% Exceedance Baseline'!T143</f>
        <v>Deficit between target flows and flow gage data plus total adjusted inputs</v>
      </c>
    </row>
    <row r="144" spans="2:21" x14ac:dyDescent="0.25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18"/>
    </row>
    <row r="145" spans="2:21" x14ac:dyDescent="0.25">
      <c r="B145" s="35" t="s">
        <v>2</v>
      </c>
      <c r="C145" s="36">
        <f>'50% Exceedance Baseline'!C145</f>
        <v>30</v>
      </c>
      <c r="D145" s="36">
        <f>'50% Exceedance Baseline'!D145</f>
        <v>30</v>
      </c>
      <c r="E145" s="36">
        <f>'50% Exceedance Baseline'!E145</f>
        <v>20</v>
      </c>
      <c r="F145" s="36">
        <f>'50% Exceedance Baseline'!F145</f>
        <v>20</v>
      </c>
      <c r="G145" s="36">
        <f>'50% Exceedance Baseline'!G145</f>
        <v>1</v>
      </c>
      <c r="H145" s="36">
        <f>'50% Exceedance Baseline'!H145</f>
        <v>1</v>
      </c>
      <c r="I145" s="36">
        <f>'50% Exceedance Baseline'!I145</f>
        <v>1</v>
      </c>
      <c r="J145" s="36">
        <f>'50% Exceedance Baseline'!J145</f>
        <v>1</v>
      </c>
      <c r="K145" s="36">
        <f>'50% Exceedance Baseline'!K145</f>
        <v>1</v>
      </c>
      <c r="L145" s="36">
        <f>'50% Exceedance Baseline'!L145</f>
        <v>1</v>
      </c>
      <c r="M145" s="36">
        <f>'50% Exceedance Baseline'!M145</f>
        <v>1</v>
      </c>
      <c r="N145" s="36">
        <f>'50% Exceedance Baseline'!N145</f>
        <v>1</v>
      </c>
      <c r="O145" s="36">
        <f>'50% Exceedance Baseline'!O145</f>
        <v>1</v>
      </c>
      <c r="P145" s="36">
        <f>'50% Exceedance Baseline'!P145</f>
        <v>1</v>
      </c>
      <c r="Q145" s="36">
        <f>'50% Exceedance Baseline'!Q145</f>
        <v>3</v>
      </c>
      <c r="R145" s="36">
        <f>'50% Exceedance Baseline'!R145</f>
        <v>3</v>
      </c>
      <c r="S145" s="66"/>
      <c r="T145" s="100" t="str">
        <f>'50% Exceedance Baseline'!T145</f>
        <v>Estimate</v>
      </c>
    </row>
    <row r="146" spans="2:21" s="12" customFormat="1" x14ac:dyDescent="0.25">
      <c r="B146" s="62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100"/>
      <c r="U146" s="13"/>
    </row>
    <row r="147" spans="2:21" ht="15.75" thickBot="1" x14ac:dyDescent="0.3">
      <c r="B147" s="4" t="s">
        <v>67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18"/>
    </row>
    <row r="148" spans="2:21" ht="15.75" thickBot="1" x14ac:dyDescent="0.3">
      <c r="B148" s="72" t="s">
        <v>5</v>
      </c>
      <c r="C148" s="46">
        <v>0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121">
        <v>0</v>
      </c>
      <c r="R148" s="46">
        <v>0</v>
      </c>
      <c r="S148" s="105"/>
      <c r="T148" s="100" t="str">
        <f>'50% Exceedance Baseline'!T148</f>
        <v>Flow input between Mgt. Pt. 6 and Mgt. Pt. 7</v>
      </c>
    </row>
    <row r="149" spans="2:21" x14ac:dyDescent="0.25">
      <c r="B149" s="79" t="s">
        <v>7</v>
      </c>
      <c r="C149" s="16">
        <f>IF(C163&gt;C162,((C163-C162)*-1),((C162-C163)))</f>
        <v>880</v>
      </c>
      <c r="D149" s="16">
        <f t="shared" ref="D149:E149" si="86">IF(D163&gt;D162,((D163-D162)*-1),((D162-D163)))</f>
        <v>731.5</v>
      </c>
      <c r="E149" s="16">
        <f t="shared" si="86"/>
        <v>614</v>
      </c>
      <c r="F149" s="16">
        <f>IF(F163&gt;F162,((F163-F162)*-1),((F162-F163)))</f>
        <v>504.02747391907997</v>
      </c>
      <c r="G149" s="16">
        <f>IF(G163&gt;G162,((G163-G162)*-1),((G162-G163)))</f>
        <v>268.54421157932001</v>
      </c>
      <c r="H149" s="16">
        <f t="shared" ref="H149:R149" si="87">IF(H163&gt;H162,((H163-H162)*-1),((H162-H163)))</f>
        <v>96.055695929799981</v>
      </c>
      <c r="I149" s="16">
        <f t="shared" si="87"/>
        <v>37.739571320471043</v>
      </c>
      <c r="J149" s="16">
        <f t="shared" si="87"/>
        <v>11.985549189196803</v>
      </c>
      <c r="K149" s="16">
        <f t="shared" si="87"/>
        <v>11.207962848812144</v>
      </c>
      <c r="L149" s="16">
        <f t="shared" si="87"/>
        <v>11.928778180452099</v>
      </c>
      <c r="M149" s="16">
        <f t="shared" si="87"/>
        <v>0.86956848245705487</v>
      </c>
      <c r="N149" s="16">
        <f t="shared" si="87"/>
        <v>16.605726221001177</v>
      </c>
      <c r="O149" s="16">
        <f t="shared" si="87"/>
        <v>30.215705545049985</v>
      </c>
      <c r="P149" s="16">
        <f t="shared" si="87"/>
        <v>44.024373766851994</v>
      </c>
      <c r="Q149" s="16">
        <f t="shared" si="87"/>
        <v>80.258664825234519</v>
      </c>
      <c r="R149" s="14">
        <f t="shared" si="87"/>
        <v>203.39070921792978</v>
      </c>
      <c r="S149" s="18"/>
      <c r="T149" s="100" t="str">
        <f>'50% Exceedance Baseline'!T149</f>
        <v>Flow target surplus or deficit after input</v>
      </c>
    </row>
    <row r="150" spans="2:21" ht="15.75" thickBot="1" x14ac:dyDescent="0.3">
      <c r="B150" s="80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7"/>
      <c r="S150" s="18"/>
    </row>
    <row r="151" spans="2:21" ht="15.75" thickBot="1" x14ac:dyDescent="0.3">
      <c r="B151" s="73" t="s">
        <v>6</v>
      </c>
      <c r="C151" s="46">
        <v>0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121">
        <v>0</v>
      </c>
      <c r="R151" s="46">
        <v>0</v>
      </c>
      <c r="S151" s="105"/>
      <c r="T151" s="100" t="str">
        <f>'50% Exceedance Baseline'!T151</f>
        <v>Flow input between Mgt. Pt. 6 and Mgt. Pt. 7</v>
      </c>
    </row>
    <row r="152" spans="2:21" x14ac:dyDescent="0.25">
      <c r="B152" s="79" t="s">
        <v>7</v>
      </c>
      <c r="C152" s="16">
        <f>IF(C163&gt;C162,((C163-C162)*-1),((C162-C163)))</f>
        <v>880</v>
      </c>
      <c r="D152" s="16">
        <f t="shared" ref="D152:R152" si="88">IF(D163&gt;D162,((D163-D162)*-1),((D162-D163)))</f>
        <v>731.5</v>
      </c>
      <c r="E152" s="16">
        <f t="shared" si="88"/>
        <v>614</v>
      </c>
      <c r="F152" s="16">
        <f t="shared" si="88"/>
        <v>504.02747391907997</v>
      </c>
      <c r="G152" s="16">
        <f t="shared" si="88"/>
        <v>268.54421157932001</v>
      </c>
      <c r="H152" s="16">
        <f t="shared" si="88"/>
        <v>96.055695929799981</v>
      </c>
      <c r="I152" s="16">
        <f t="shared" si="88"/>
        <v>37.739571320471043</v>
      </c>
      <c r="J152" s="16">
        <f t="shared" si="88"/>
        <v>11.985549189196803</v>
      </c>
      <c r="K152" s="16">
        <f t="shared" si="88"/>
        <v>11.207962848812144</v>
      </c>
      <c r="L152" s="16">
        <f t="shared" si="88"/>
        <v>11.928778180452099</v>
      </c>
      <c r="M152" s="16">
        <f t="shared" si="88"/>
        <v>0.86956848245705487</v>
      </c>
      <c r="N152" s="16">
        <f t="shared" si="88"/>
        <v>16.605726221001177</v>
      </c>
      <c r="O152" s="16">
        <f t="shared" si="88"/>
        <v>30.215705545049985</v>
      </c>
      <c r="P152" s="16">
        <f t="shared" si="88"/>
        <v>44.024373766851994</v>
      </c>
      <c r="Q152" s="16">
        <f t="shared" si="88"/>
        <v>80.258664825234519</v>
      </c>
      <c r="R152" s="14">
        <f t="shared" si="88"/>
        <v>203.39070921792978</v>
      </c>
      <c r="S152" s="18"/>
      <c r="T152" s="100" t="str">
        <f>'50% Exceedance Baseline'!T152</f>
        <v>Flow target surplus or deficit after input</v>
      </c>
    </row>
    <row r="153" spans="2:21" s="4" customFormat="1" ht="15.75" thickBot="1" x14ac:dyDescent="0.3">
      <c r="B153" s="80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7"/>
      <c r="S153" s="18"/>
      <c r="T153" s="100"/>
      <c r="U153" s="155"/>
    </row>
    <row r="154" spans="2:21" ht="15.75" thickBot="1" x14ac:dyDescent="0.3">
      <c r="B154" s="73" t="s">
        <v>60</v>
      </c>
      <c r="C154" s="46">
        <v>0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121">
        <v>0</v>
      </c>
      <c r="R154" s="46">
        <v>0</v>
      </c>
      <c r="S154" s="105"/>
      <c r="T154" s="100" t="str">
        <f>'50% Exceedance Baseline'!T154</f>
        <v>Flow input between Mgt. Pt. 6 and Mgt. Pt. 7</v>
      </c>
    </row>
    <row r="155" spans="2:21" x14ac:dyDescent="0.25">
      <c r="B155" s="79" t="s">
        <v>7</v>
      </c>
      <c r="C155" s="16">
        <f>IF(C163&gt;C162,((C163-C162)*-1),((C162-C163)))</f>
        <v>880</v>
      </c>
      <c r="D155" s="16">
        <f t="shared" ref="D155" si="89">IF(D163&gt;D162,((D163-D162)*-1),((D162-D163)))</f>
        <v>731.5</v>
      </c>
      <c r="E155" s="16">
        <f>IF(E163&gt;E162,((E163-E162)*-1),((E162-E163)))</f>
        <v>614</v>
      </c>
      <c r="F155" s="16">
        <f t="shared" ref="F155:R155" si="90">IF(F163&gt;F162,((F163-F162)*-1),((F162-F163)))</f>
        <v>504.02747391907997</v>
      </c>
      <c r="G155" s="16">
        <f t="shared" si="90"/>
        <v>268.54421157932001</v>
      </c>
      <c r="H155" s="16">
        <f t="shared" si="90"/>
        <v>96.055695929799981</v>
      </c>
      <c r="I155" s="16">
        <f t="shared" si="90"/>
        <v>37.739571320471043</v>
      </c>
      <c r="J155" s="16">
        <f t="shared" si="90"/>
        <v>11.985549189196803</v>
      </c>
      <c r="K155" s="16">
        <f t="shared" si="90"/>
        <v>11.207962848812144</v>
      </c>
      <c r="L155" s="16">
        <f t="shared" si="90"/>
        <v>11.928778180452099</v>
      </c>
      <c r="M155" s="16">
        <f t="shared" si="90"/>
        <v>0.86956848245705487</v>
      </c>
      <c r="N155" s="16">
        <f t="shared" si="90"/>
        <v>16.605726221001177</v>
      </c>
      <c r="O155" s="16">
        <f t="shared" si="90"/>
        <v>30.215705545049985</v>
      </c>
      <c r="P155" s="16">
        <f t="shared" si="90"/>
        <v>44.024373766851994</v>
      </c>
      <c r="Q155" s="16">
        <f t="shared" si="90"/>
        <v>80.258664825234519</v>
      </c>
      <c r="R155" s="14">
        <f t="shared" si="90"/>
        <v>203.39070921792978</v>
      </c>
      <c r="S155" s="18"/>
      <c r="T155" s="100" t="str">
        <f>'50% Exceedance Baseline'!T155</f>
        <v>Flow target surplus or deficit after input</v>
      </c>
    </row>
    <row r="156" spans="2:21" s="4" customFormat="1" x14ac:dyDescent="0.25">
      <c r="B156" s="81" t="s">
        <v>26</v>
      </c>
      <c r="C156" s="18">
        <f t="shared" ref="C156:F156" si="91">SUM(C148+C151+C154)</f>
        <v>0</v>
      </c>
      <c r="D156" s="18">
        <f t="shared" si="91"/>
        <v>0</v>
      </c>
      <c r="E156" s="18">
        <f t="shared" si="91"/>
        <v>0</v>
      </c>
      <c r="F156" s="18">
        <f t="shared" si="91"/>
        <v>0</v>
      </c>
      <c r="G156" s="18">
        <f>SUM(G148+G151+G154)</f>
        <v>0</v>
      </c>
      <c r="H156" s="18">
        <f t="shared" ref="H156:N156" si="92">SUM(H148+H151+H154)</f>
        <v>0</v>
      </c>
      <c r="I156" s="18">
        <f t="shared" si="92"/>
        <v>0</v>
      </c>
      <c r="J156" s="18">
        <f t="shared" si="92"/>
        <v>0</v>
      </c>
      <c r="K156" s="18">
        <f t="shared" si="92"/>
        <v>0</v>
      </c>
      <c r="L156" s="18">
        <f t="shared" si="92"/>
        <v>0</v>
      </c>
      <c r="M156" s="18">
        <f t="shared" si="92"/>
        <v>0</v>
      </c>
      <c r="N156" s="18">
        <f t="shared" si="92"/>
        <v>0</v>
      </c>
      <c r="O156" s="18">
        <f>SUM(O148+O151+O154)</f>
        <v>0</v>
      </c>
      <c r="P156" s="18">
        <f>SUM(P148+P151+P154)</f>
        <v>0</v>
      </c>
      <c r="Q156" s="18">
        <f>SUM(Q148+Q151+Q154)</f>
        <v>0</v>
      </c>
      <c r="R156" s="17">
        <f>SUM(R148+R151+R154)</f>
        <v>0</v>
      </c>
      <c r="S156" s="18"/>
      <c r="T156" s="100" t="str">
        <f>'50% Exceedance Baseline'!T156</f>
        <v>Subtotal of all inputs in McDonald Road to Touchet Confluence reach</v>
      </c>
      <c r="U156" s="155"/>
    </row>
    <row r="157" spans="2:21" s="26" customFormat="1" ht="15.75" thickBot="1" x14ac:dyDescent="0.3">
      <c r="B157" s="80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7"/>
      <c r="S157" s="18"/>
      <c r="T157" s="100"/>
      <c r="U157" s="25"/>
    </row>
    <row r="158" spans="2:21" s="64" customFormat="1" ht="15.75" thickBot="1" x14ac:dyDescent="0.3">
      <c r="B158" s="70" t="s">
        <v>69</v>
      </c>
      <c r="C158" s="82">
        <f>'50% Exceedance Baseline'!C158</f>
        <v>0</v>
      </c>
      <c r="D158" s="82">
        <f>'50% Exceedance Baseline'!D158</f>
        <v>0</v>
      </c>
      <c r="E158" s="82">
        <f>'50% Exceedance Baseline'!E158</f>
        <v>0</v>
      </c>
      <c r="F158" s="82">
        <f>'50% Exceedance Baseline'!F158</f>
        <v>0</v>
      </c>
      <c r="G158" s="82">
        <f>'50% Exceedance Baseline'!G158</f>
        <v>0</v>
      </c>
      <c r="H158" s="82">
        <f>'50% Exceedance Baseline'!H158</f>
        <v>0</v>
      </c>
      <c r="I158" s="82">
        <f>'50% Exceedance Baseline'!I158</f>
        <v>0</v>
      </c>
      <c r="J158" s="82">
        <f>'50% Exceedance Baseline'!J158</f>
        <v>0</v>
      </c>
      <c r="K158" s="82">
        <f>'50% Exceedance Baseline'!K158</f>
        <v>0</v>
      </c>
      <c r="L158" s="82">
        <f>'50% Exceedance Baseline'!L158</f>
        <v>0</v>
      </c>
      <c r="M158" s="82">
        <f>'50% Exceedance Baseline'!M158</f>
        <v>0</v>
      </c>
      <c r="N158" s="82">
        <f>'50% Exceedance Baseline'!N158</f>
        <v>0</v>
      </c>
      <c r="O158" s="82">
        <f>'50% Exceedance Baseline'!O158</f>
        <v>0</v>
      </c>
      <c r="P158" s="82">
        <f>'50% Exceedance Baseline'!P158</f>
        <v>0</v>
      </c>
      <c r="Q158" s="82">
        <f>'50% Exceedance Baseline'!Q158</f>
        <v>0</v>
      </c>
      <c r="R158" s="82">
        <f>'50% Exceedance Baseline'!R158</f>
        <v>0</v>
      </c>
      <c r="S158" s="106"/>
      <c r="T158" s="100" t="str">
        <f>'50% Exceedance Baseline'!T158</f>
        <v>Gaining reach, but limited data available; assumed 0% seepage as conservative estimate</v>
      </c>
      <c r="U158" s="83"/>
    </row>
    <row r="159" spans="2:21" x14ac:dyDescent="0.25">
      <c r="B159" s="84" t="s">
        <v>20</v>
      </c>
      <c r="C159" s="57">
        <f>SUM(C156+C138)*(1+C158)</f>
        <v>0</v>
      </c>
      <c r="D159" s="57">
        <f t="shared" ref="D159:N159" si="93">SUM(D156+D138)*(1+D158)</f>
        <v>0</v>
      </c>
      <c r="E159" s="57">
        <f t="shared" si="93"/>
        <v>0</v>
      </c>
      <c r="F159" s="57">
        <f t="shared" si="93"/>
        <v>91.027473919079981</v>
      </c>
      <c r="G159" s="57">
        <f t="shared" si="93"/>
        <v>142.04421157932001</v>
      </c>
      <c r="H159" s="57">
        <f t="shared" si="93"/>
        <v>89.055695929799981</v>
      </c>
      <c r="I159" s="57">
        <f t="shared" si="93"/>
        <v>53.739571320471043</v>
      </c>
      <c r="J159" s="57">
        <f t="shared" si="93"/>
        <v>54.985549189196803</v>
      </c>
      <c r="K159" s="57">
        <f t="shared" si="93"/>
        <v>61.207962848812144</v>
      </c>
      <c r="L159" s="57">
        <f t="shared" si="93"/>
        <v>62.928778180452106</v>
      </c>
      <c r="M159" s="57">
        <f t="shared" si="93"/>
        <v>42.869568482457048</v>
      </c>
      <c r="N159" s="57">
        <f t="shared" si="93"/>
        <v>41.605726221001177</v>
      </c>
      <c r="O159" s="57">
        <f>SUM(O156+O138)*(1+O158)</f>
        <v>47.215705545049993</v>
      </c>
      <c r="P159" s="122">
        <f>SUM(P156+P138)*(1+P158)</f>
        <v>48.024373766851994</v>
      </c>
      <c r="Q159" s="57">
        <f>SUM(Q156+Q138)*(1+Q158)</f>
        <v>35.258664825234519</v>
      </c>
      <c r="R159" s="68">
        <f>SUM(R156+R138)*(1+R158)</f>
        <v>24.390709217929786</v>
      </c>
      <c r="S159" s="110"/>
      <c r="T159" s="100" t="str">
        <f>'50% Exceedance Baseline'!T159</f>
        <v>Total of all upstream input flow adjusted for streambed loss or gain</v>
      </c>
    </row>
    <row r="160" spans="2:21" ht="15.75" thickBot="1" x14ac:dyDescent="0.3">
      <c r="B160" s="71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3"/>
      <c r="S160" s="110"/>
    </row>
    <row r="161" spans="2:20" ht="15.75" thickBot="1" x14ac:dyDescent="0.3">
      <c r="B161" s="24" t="s">
        <v>58</v>
      </c>
      <c r="C161" s="123">
        <f>'50% Exceedance Baseline'!C161</f>
        <v>1030</v>
      </c>
      <c r="D161" s="123">
        <f>'50% Exceedance Baseline'!D161</f>
        <v>881.5</v>
      </c>
      <c r="E161" s="123">
        <f>'50% Exceedance Baseline'!E161</f>
        <v>764</v>
      </c>
      <c r="F161" s="123">
        <f>'50% Exceedance Baseline'!F161</f>
        <v>563</v>
      </c>
      <c r="G161" s="123">
        <f>'50% Exceedance Baseline'!G161</f>
        <v>276.5</v>
      </c>
      <c r="H161" s="123">
        <f>'50% Exceedance Baseline'!H161</f>
        <v>107</v>
      </c>
      <c r="I161" s="123">
        <f>'50% Exceedance Baseline'!I161</f>
        <v>49</v>
      </c>
      <c r="J161" s="123">
        <f>'50% Exceedance Baseline'!J161</f>
        <v>22</v>
      </c>
      <c r="K161" s="123">
        <f>'50% Exceedance Baseline'!K161</f>
        <v>15</v>
      </c>
      <c r="L161" s="123">
        <f>'50% Exceedance Baseline'!L161</f>
        <v>14</v>
      </c>
      <c r="M161" s="123">
        <f>'50% Exceedance Baseline'!M161</f>
        <v>23</v>
      </c>
      <c r="N161" s="123">
        <f>'50% Exceedance Baseline'!N161</f>
        <v>40</v>
      </c>
      <c r="O161" s="123">
        <f>'50% Exceedance Baseline'!O161</f>
        <v>48</v>
      </c>
      <c r="P161" s="123">
        <f>'50% Exceedance Baseline'!P161</f>
        <v>61</v>
      </c>
      <c r="Q161" s="123">
        <f>'50% Exceedance Baseline'!Q161</f>
        <v>110</v>
      </c>
      <c r="R161" s="123">
        <f>'50% Exceedance Baseline'!R161</f>
        <v>244</v>
      </c>
      <c r="S161" s="27"/>
      <c r="T161" s="100" t="str">
        <f>'50% Exceedance Baseline'!T161</f>
        <v>Median flow data at S-111 gage (1951-2016)</v>
      </c>
    </row>
    <row r="162" spans="2:20" x14ac:dyDescent="0.25">
      <c r="B162" s="47" t="s">
        <v>51</v>
      </c>
      <c r="C162" s="48">
        <f>C161+C159</f>
        <v>1030</v>
      </c>
      <c r="D162" s="48">
        <f t="shared" ref="D162:E162" si="94">D161+D159</f>
        <v>881.5</v>
      </c>
      <c r="E162" s="48">
        <f t="shared" si="94"/>
        <v>764</v>
      </c>
      <c r="F162" s="48">
        <f>F161+F159</f>
        <v>654.02747391907997</v>
      </c>
      <c r="G162" s="48">
        <f t="shared" ref="G162:H162" si="95">G161+G159</f>
        <v>418.54421157932001</v>
      </c>
      <c r="H162" s="48">
        <f t="shared" si="95"/>
        <v>196.05569592979998</v>
      </c>
      <c r="I162" s="48">
        <f>I161+I159</f>
        <v>102.73957132047104</v>
      </c>
      <c r="J162" s="48">
        <f t="shared" ref="J162:N162" si="96">J161+J159</f>
        <v>76.985549189196803</v>
      </c>
      <c r="K162" s="48">
        <f t="shared" si="96"/>
        <v>76.207962848812144</v>
      </c>
      <c r="L162" s="48">
        <f t="shared" si="96"/>
        <v>76.928778180452099</v>
      </c>
      <c r="M162" s="48">
        <f t="shared" si="96"/>
        <v>65.869568482457055</v>
      </c>
      <c r="N162" s="48">
        <f t="shared" si="96"/>
        <v>81.605726221001177</v>
      </c>
      <c r="O162" s="48">
        <f>O161+O159</f>
        <v>95.215705545049985</v>
      </c>
      <c r="P162" s="48">
        <f>P161+P159</f>
        <v>109.02437376685199</v>
      </c>
      <c r="Q162" s="48">
        <f>Q161+Q159</f>
        <v>145.25866482523452</v>
      </c>
      <c r="R162" s="49">
        <f>R161+R159</f>
        <v>268.39070921792978</v>
      </c>
      <c r="S162" s="111"/>
      <c r="T162" s="100" t="str">
        <f>'50% Exceedance Baseline'!T162</f>
        <v>Flow gage data plus cumulative inputs adjusted for streambed loss or gain</v>
      </c>
    </row>
    <row r="163" spans="2:20" x14ac:dyDescent="0.25">
      <c r="B163" s="10" t="s">
        <v>8</v>
      </c>
      <c r="C163" s="8">
        <f>$C$16</f>
        <v>150</v>
      </c>
      <c r="D163" s="8">
        <f>$D$16</f>
        <v>150</v>
      </c>
      <c r="E163" s="8">
        <f>$E$16</f>
        <v>150</v>
      </c>
      <c r="F163" s="8">
        <f>$F$16</f>
        <v>150</v>
      </c>
      <c r="G163" s="8">
        <f>$G$16</f>
        <v>150</v>
      </c>
      <c r="H163" s="8">
        <f>$H$16</f>
        <v>100</v>
      </c>
      <c r="I163" s="8">
        <f>$I$16</f>
        <v>65</v>
      </c>
      <c r="J163" s="8">
        <f>$J$16</f>
        <v>65</v>
      </c>
      <c r="K163" s="8">
        <f>$K$16</f>
        <v>65</v>
      </c>
      <c r="L163" s="8">
        <f>$L$16</f>
        <v>65</v>
      </c>
      <c r="M163" s="8">
        <f>$M$16</f>
        <v>65</v>
      </c>
      <c r="N163" s="8">
        <f>$N$16</f>
        <v>65</v>
      </c>
      <c r="O163" s="8">
        <f>$O$16</f>
        <v>65</v>
      </c>
      <c r="P163" s="8">
        <f>$P$16</f>
        <v>65</v>
      </c>
      <c r="Q163" s="8">
        <f>$Q$16</f>
        <v>65</v>
      </c>
      <c r="R163" s="9">
        <f>$R$16</f>
        <v>65</v>
      </c>
      <c r="S163" s="112"/>
      <c r="T163" s="100" t="str">
        <f>'50% Exceedance Baseline'!T163</f>
        <v>Target flows</v>
      </c>
    </row>
    <row r="164" spans="2:20" ht="15.75" thickBot="1" x14ac:dyDescent="0.3">
      <c r="B164" s="37" t="s">
        <v>16</v>
      </c>
      <c r="C164" s="38">
        <f>IF(C162&gt;C163,0,(C163-C162)*-1)</f>
        <v>0</v>
      </c>
      <c r="D164" s="38">
        <f t="shared" ref="D164:E164" si="97">IF(D162&gt;D163,0,(D163-D162)*-1)</f>
        <v>0</v>
      </c>
      <c r="E164" s="38">
        <f t="shared" si="97"/>
        <v>0</v>
      </c>
      <c r="F164" s="38">
        <f>IF(F162&gt;F163,0,(F163-F162)*-1)</f>
        <v>0</v>
      </c>
      <c r="G164" s="38">
        <f t="shared" ref="G164" si="98">IF(G162&gt;G163,0,(G163-G162)*-1)</f>
        <v>0</v>
      </c>
      <c r="H164" s="38">
        <f>IF(H162&gt;H163,0,(H163-H162)*-1)</f>
        <v>0</v>
      </c>
      <c r="I164" s="38">
        <f t="shared" ref="I164:N164" si="99">IF(I162&gt;I163,0,(I163-I162)*-1)</f>
        <v>0</v>
      </c>
      <c r="J164" s="38">
        <f t="shared" si="99"/>
        <v>0</v>
      </c>
      <c r="K164" s="38">
        <f>IF(K162&gt;K163,0,(K163-K162)*-1)</f>
        <v>0</v>
      </c>
      <c r="L164" s="38">
        <f>IF(L162&gt;L163,0,(L163-L162)*-1)</f>
        <v>0</v>
      </c>
      <c r="M164" s="38">
        <f t="shared" si="99"/>
        <v>0</v>
      </c>
      <c r="N164" s="38">
        <f t="shared" si="99"/>
        <v>0</v>
      </c>
      <c r="O164" s="38">
        <f>IF(O162&gt;O163,0,(O163-O162)*-1)</f>
        <v>0</v>
      </c>
      <c r="P164" s="38">
        <f>IF(P162&gt;P163,0,(P163-P162)*-1)</f>
        <v>0</v>
      </c>
      <c r="Q164" s="38">
        <f>IF(Q162&gt;Q163,0,(Q163-Q162)*-1)</f>
        <v>0</v>
      </c>
      <c r="R164" s="39">
        <f>IF(R162&gt;R163,0,(R163-R162)*-1)</f>
        <v>0</v>
      </c>
      <c r="S164" s="105"/>
      <c r="T164" s="100" t="str">
        <f>'50% Exceedance Baseline'!T164</f>
        <v>Deficit between target flows and flow gage data plus total adjusted inputs</v>
      </c>
    </row>
    <row r="165" spans="2:20" x14ac:dyDescent="0.25">
      <c r="B165" s="40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105"/>
    </row>
    <row r="166" spans="2:20" ht="15.75" thickBot="1" x14ac:dyDescent="0.3">
      <c r="B166" s="67" t="s">
        <v>62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18"/>
    </row>
    <row r="167" spans="2:20" ht="15.75" thickBot="1" x14ac:dyDescent="0.3">
      <c r="B167" s="94" t="s">
        <v>5</v>
      </c>
      <c r="C167" s="46">
        <v>0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121">
        <v>0</v>
      </c>
      <c r="R167" s="46">
        <v>0</v>
      </c>
      <c r="S167" s="105"/>
      <c r="T167" s="100" t="str">
        <f>'50% Exceedance Baseline'!T167</f>
        <v>Flow input between Mgt. Pt. 7 and Mgt. Pt. 8</v>
      </c>
    </row>
    <row r="168" spans="2:20" x14ac:dyDescent="0.25">
      <c r="B168" s="95" t="s">
        <v>7</v>
      </c>
      <c r="C168" s="16">
        <f>IF(C182&gt;C181,((C182-C181)*-1),((C181-C182)))</f>
        <v>667.29318639999997</v>
      </c>
      <c r="D168" s="16">
        <f t="shared" ref="D168:E168" si="100">IF(D182&gt;D181,((D182-D181)*-1),((D181-D182)))</f>
        <v>303.71796180000001</v>
      </c>
      <c r="E168" s="16">
        <f t="shared" si="100"/>
        <v>161.46826600000003</v>
      </c>
      <c r="F168" s="16">
        <f>IF(F182&gt;F181,((F182-F181)*-1),((F181-F182)))</f>
        <v>99.32286803512514</v>
      </c>
      <c r="G168" s="16">
        <f>IF(G182&gt;G181,((G182-G181)*-1),((G181-G182)))</f>
        <v>27.006106787131642</v>
      </c>
      <c r="H168" s="16">
        <f t="shared" ref="H168:R168" si="101">IF(H182&gt;H181,((H182-H181)*-1),((H181-H182)))</f>
        <v>43.83125080745458</v>
      </c>
      <c r="I168" s="16">
        <f t="shared" si="101"/>
        <v>32.745501702029543</v>
      </c>
      <c r="J168" s="16">
        <f t="shared" si="101"/>
        <v>2.2003624394657493</v>
      </c>
      <c r="K168" s="16">
        <f t="shared" si="101"/>
        <v>-14.253750192399536</v>
      </c>
      <c r="L168" s="16">
        <f t="shared" si="101"/>
        <v>-12.683011308134716</v>
      </c>
      <c r="M168" s="16">
        <f t="shared" si="101"/>
        <v>24.978113491317018</v>
      </c>
      <c r="N168" s="16">
        <f t="shared" si="101"/>
        <v>23.340784908351594</v>
      </c>
      <c r="O168" s="16">
        <f t="shared" si="101"/>
        <v>26.552180889465987</v>
      </c>
      <c r="P168" s="16">
        <f t="shared" si="101"/>
        <v>49.718782912244635</v>
      </c>
      <c r="Q168" s="16">
        <f t="shared" si="101"/>
        <v>77.249748929309561</v>
      </c>
      <c r="R168" s="14">
        <f t="shared" si="101"/>
        <v>138.61195666766733</v>
      </c>
      <c r="S168" s="18"/>
      <c r="T168" s="100" t="str">
        <f>'50% Exceedance Baseline'!T168</f>
        <v>Flow target surplus or deficit after input</v>
      </c>
    </row>
    <row r="169" spans="2:20" ht="15.75" thickBot="1" x14ac:dyDescent="0.3">
      <c r="B169" s="96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7"/>
      <c r="S169" s="18"/>
    </row>
    <row r="170" spans="2:20" ht="15.75" thickBot="1" x14ac:dyDescent="0.3">
      <c r="B170" s="97" t="s">
        <v>6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121">
        <v>0</v>
      </c>
      <c r="R170" s="46">
        <v>0</v>
      </c>
      <c r="S170" s="105"/>
      <c r="T170" s="100" t="str">
        <f>'50% Exceedance Baseline'!T170</f>
        <v>Flow input between Mgt. Pt. 7 and Mgt. Pt. 8</v>
      </c>
    </row>
    <row r="171" spans="2:20" x14ac:dyDescent="0.25">
      <c r="B171" s="95" t="s">
        <v>7</v>
      </c>
      <c r="C171" s="16">
        <f>IF(C182&gt;C181,((C182-C181)*-1),((C181-C182)))</f>
        <v>667.29318639999997</v>
      </c>
      <c r="D171" s="16">
        <f t="shared" ref="D171:R171" si="102">IF(D182&gt;D181,((D182-D181)*-1),((D181-D182)))</f>
        <v>303.71796180000001</v>
      </c>
      <c r="E171" s="16">
        <f t="shared" si="102"/>
        <v>161.46826600000003</v>
      </c>
      <c r="F171" s="16">
        <f t="shared" si="102"/>
        <v>99.32286803512514</v>
      </c>
      <c r="G171" s="16">
        <f t="shared" si="102"/>
        <v>27.006106787131642</v>
      </c>
      <c r="H171" s="16">
        <f t="shared" si="102"/>
        <v>43.83125080745458</v>
      </c>
      <c r="I171" s="16">
        <f t="shared" si="102"/>
        <v>32.745501702029543</v>
      </c>
      <c r="J171" s="16">
        <f t="shared" si="102"/>
        <v>2.2003624394657493</v>
      </c>
      <c r="K171" s="16">
        <f t="shared" si="102"/>
        <v>-14.253750192399536</v>
      </c>
      <c r="L171" s="16">
        <f t="shared" si="102"/>
        <v>-12.683011308134716</v>
      </c>
      <c r="M171" s="16">
        <f t="shared" si="102"/>
        <v>24.978113491317018</v>
      </c>
      <c r="N171" s="16">
        <f t="shared" si="102"/>
        <v>23.340784908351594</v>
      </c>
      <c r="O171" s="16">
        <f t="shared" si="102"/>
        <v>26.552180889465987</v>
      </c>
      <c r="P171" s="16">
        <f t="shared" si="102"/>
        <v>49.718782912244635</v>
      </c>
      <c r="Q171" s="16">
        <f t="shared" si="102"/>
        <v>77.249748929309561</v>
      </c>
      <c r="R171" s="14">
        <f t="shared" si="102"/>
        <v>138.61195666766733</v>
      </c>
      <c r="S171" s="18"/>
      <c r="T171" s="100" t="str">
        <f>'50% Exceedance Baseline'!T171</f>
        <v>Flow target surplus or deficit after input</v>
      </c>
    </row>
    <row r="172" spans="2:20" ht="15.75" thickBot="1" x14ac:dyDescent="0.3">
      <c r="B172" s="96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7"/>
      <c r="S172" s="18"/>
    </row>
    <row r="173" spans="2:20" ht="15.75" thickBot="1" x14ac:dyDescent="0.3">
      <c r="B173" s="73" t="s">
        <v>60</v>
      </c>
      <c r="C173" s="46">
        <v>0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121">
        <v>0</v>
      </c>
      <c r="R173" s="46">
        <v>0</v>
      </c>
      <c r="S173" s="105"/>
      <c r="T173" s="100" t="str">
        <f>'50% Exceedance Baseline'!T173</f>
        <v>Flow input between Mgt. Pt. 7 and Mgt. Pt. 8</v>
      </c>
    </row>
    <row r="174" spans="2:20" x14ac:dyDescent="0.25">
      <c r="B174" s="95" t="s">
        <v>7</v>
      </c>
      <c r="C174" s="16">
        <f>IF(C182&gt;C181,((C182-C181)*-1),((C181-C182)))</f>
        <v>667.29318639999997</v>
      </c>
      <c r="D174" s="16">
        <f t="shared" ref="D174" si="103">IF(D182&gt;D181,((D182-D181)*-1),((D181-D182)))</f>
        <v>303.71796180000001</v>
      </c>
      <c r="E174" s="16">
        <f>IF(E182&gt;E181,((E182-E181)*-1),((E181-E182)))</f>
        <v>161.46826600000003</v>
      </c>
      <c r="F174" s="16">
        <f t="shared" ref="F174:R174" si="104">IF(F182&gt;F181,((F182-F181)*-1),((F181-F182)))</f>
        <v>99.32286803512514</v>
      </c>
      <c r="G174" s="16">
        <f t="shared" si="104"/>
        <v>27.006106787131642</v>
      </c>
      <c r="H174" s="16">
        <f t="shared" si="104"/>
        <v>43.83125080745458</v>
      </c>
      <c r="I174" s="16">
        <f t="shared" si="104"/>
        <v>32.745501702029543</v>
      </c>
      <c r="J174" s="16">
        <f t="shared" si="104"/>
        <v>2.2003624394657493</v>
      </c>
      <c r="K174" s="16">
        <f t="shared" si="104"/>
        <v>-14.253750192399536</v>
      </c>
      <c r="L174" s="16">
        <f t="shared" si="104"/>
        <v>-12.683011308134716</v>
      </c>
      <c r="M174" s="16">
        <f t="shared" si="104"/>
        <v>24.978113491317018</v>
      </c>
      <c r="N174" s="16">
        <f t="shared" si="104"/>
        <v>23.340784908351594</v>
      </c>
      <c r="O174" s="16">
        <f t="shared" si="104"/>
        <v>26.552180889465987</v>
      </c>
      <c r="P174" s="16">
        <f t="shared" si="104"/>
        <v>49.718782912244635</v>
      </c>
      <c r="Q174" s="16">
        <f t="shared" si="104"/>
        <v>77.249748929309561</v>
      </c>
      <c r="R174" s="14">
        <f t="shared" si="104"/>
        <v>138.61195666766733</v>
      </c>
      <c r="S174" s="18"/>
      <c r="T174" s="100" t="str">
        <f>'50% Exceedance Baseline'!T174</f>
        <v>Flow target surplus or deficit after input</v>
      </c>
    </row>
    <row r="175" spans="2:20" x14ac:dyDescent="0.25">
      <c r="B175" s="98" t="s">
        <v>27</v>
      </c>
      <c r="C175" s="18">
        <f t="shared" ref="C175:F175" si="105">SUM(C167+C170+C173)</f>
        <v>0</v>
      </c>
      <c r="D175" s="18">
        <f t="shared" si="105"/>
        <v>0</v>
      </c>
      <c r="E175" s="18">
        <f t="shared" si="105"/>
        <v>0</v>
      </c>
      <c r="F175" s="18">
        <f t="shared" si="105"/>
        <v>0</v>
      </c>
      <c r="G175" s="18">
        <f>SUM(G167+G170+G173)</f>
        <v>0</v>
      </c>
      <c r="H175" s="18">
        <f t="shared" ref="H175:N175" si="106">SUM(H167+H170+H173)</f>
        <v>0</v>
      </c>
      <c r="I175" s="18">
        <f t="shared" si="106"/>
        <v>0</v>
      </c>
      <c r="J175" s="18">
        <f t="shared" si="106"/>
        <v>0</v>
      </c>
      <c r="K175" s="18">
        <f t="shared" si="106"/>
        <v>0</v>
      </c>
      <c r="L175" s="18">
        <f t="shared" si="106"/>
        <v>0</v>
      </c>
      <c r="M175" s="18">
        <f t="shared" si="106"/>
        <v>0</v>
      </c>
      <c r="N175" s="18">
        <f t="shared" si="106"/>
        <v>0</v>
      </c>
      <c r="O175" s="18">
        <f>SUM(O167+O170+O173)</f>
        <v>0</v>
      </c>
      <c r="P175" s="18">
        <f>SUM(P167+P170+P173)</f>
        <v>0</v>
      </c>
      <c r="Q175" s="18">
        <f>SUM(Q167+Q170+Q173)</f>
        <v>0</v>
      </c>
      <c r="R175" s="17">
        <f>SUM(R167+R170+R173)</f>
        <v>0</v>
      </c>
      <c r="S175" s="18"/>
      <c r="T175" s="100" t="str">
        <f>'50% Exceedance Baseline'!T175</f>
        <v>Subtotal of all inputs in Touchet Confluence to Pierce RV reach</v>
      </c>
    </row>
    <row r="176" spans="2:20" ht="15.75" thickBot="1" x14ac:dyDescent="0.3">
      <c r="B176" s="96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3"/>
      <c r="S176" s="118"/>
    </row>
    <row r="177" spans="2:21" s="64" customFormat="1" ht="15.75" thickBot="1" x14ac:dyDescent="0.3">
      <c r="B177" s="70" t="s">
        <v>69</v>
      </c>
      <c r="C177" s="69">
        <f>'50% Exceedance Baseline'!C177</f>
        <v>-0.223</v>
      </c>
      <c r="D177" s="69">
        <f>'50% Exceedance Baseline'!D177</f>
        <v>-0.223</v>
      </c>
      <c r="E177" s="69">
        <f>'50% Exceedance Baseline'!E177</f>
        <v>-0.223</v>
      </c>
      <c r="F177" s="69">
        <f>'50% Exceedance Baseline'!F177</f>
        <v>-0.223</v>
      </c>
      <c r="G177" s="69">
        <f>'50% Exceedance Baseline'!G177</f>
        <v>-0.223</v>
      </c>
      <c r="H177" s="69">
        <f>'50% Exceedance Baseline'!H177</f>
        <v>-0.223</v>
      </c>
      <c r="I177" s="69">
        <f>'50% Exceedance Baseline'!I177</f>
        <v>-0.17299999999999999</v>
      </c>
      <c r="J177" s="69">
        <f>'50% Exceedance Baseline'!J177</f>
        <v>-0.17299999999999999</v>
      </c>
      <c r="K177" s="69">
        <f>'50% Exceedance Baseline'!K177</f>
        <v>-0.36899999999999999</v>
      </c>
      <c r="L177" s="69">
        <f>'50% Exceedance Baseline'!L177</f>
        <v>-0.36899999999999999</v>
      </c>
      <c r="M177" s="82">
        <f>'50% Exceedance Baseline'!M177</f>
        <v>0.35</v>
      </c>
      <c r="N177" s="82">
        <f>'50% Exceedance Baseline'!N177</f>
        <v>0.35</v>
      </c>
      <c r="O177" s="82">
        <f>'50% Exceedance Baseline'!O177</f>
        <v>0.32</v>
      </c>
      <c r="P177" s="82">
        <f>'50% Exceedance Baseline'!P177</f>
        <v>0.32</v>
      </c>
      <c r="Q177" s="82">
        <f>'50% Exceedance Baseline'!Q177</f>
        <v>0.32</v>
      </c>
      <c r="R177" s="82">
        <f>'50% Exceedance Baseline'!R177</f>
        <v>0.32</v>
      </c>
      <c r="S177" s="107"/>
      <c r="T177" s="100" t="str">
        <f>'50% Exceedance Baseline'!T177</f>
        <v>Percentage total inputs lost or gained due to streambed hydrology (2002-2015 WWBWC seepage data)</v>
      </c>
      <c r="U177" s="83"/>
    </row>
    <row r="178" spans="2:21" x14ac:dyDescent="0.25">
      <c r="B178" s="84" t="s">
        <v>20</v>
      </c>
      <c r="C178" s="57">
        <f>SUM(C175+C159)*(1+C177)</f>
        <v>0</v>
      </c>
      <c r="D178" s="57">
        <f t="shared" ref="D178:N178" si="107">SUM(D175+D159)*(1+D177)</f>
        <v>0</v>
      </c>
      <c r="E178" s="57">
        <f t="shared" si="107"/>
        <v>0</v>
      </c>
      <c r="F178" s="57">
        <f t="shared" si="107"/>
        <v>70.728347235125142</v>
      </c>
      <c r="G178" s="57">
        <f t="shared" si="107"/>
        <v>110.36835239713164</v>
      </c>
      <c r="H178" s="57">
        <f t="shared" si="107"/>
        <v>69.196275737454584</v>
      </c>
      <c r="I178" s="57">
        <f t="shared" si="107"/>
        <v>44.442625482029548</v>
      </c>
      <c r="J178" s="57">
        <f t="shared" si="107"/>
        <v>45.473049179465754</v>
      </c>
      <c r="K178" s="57">
        <f t="shared" si="107"/>
        <v>38.622224557600461</v>
      </c>
      <c r="L178" s="57">
        <f t="shared" si="107"/>
        <v>39.708059031865282</v>
      </c>
      <c r="M178" s="57">
        <f t="shared" si="107"/>
        <v>57.87391745131702</v>
      </c>
      <c r="N178" s="57">
        <f t="shared" si="107"/>
        <v>56.167730398351594</v>
      </c>
      <c r="O178" s="57">
        <f>SUM(O175+O159)*(1+O177)</f>
        <v>62.32473131946599</v>
      </c>
      <c r="P178" s="57">
        <f>SUM(P175+P159)*(1+P177)</f>
        <v>63.392173372244635</v>
      </c>
      <c r="Q178" s="57">
        <f>SUM(Q175+Q159)*(1+Q177)</f>
        <v>46.541437569309565</v>
      </c>
      <c r="R178" s="58">
        <f>SUM(R175+R159)*(1+R177)</f>
        <v>32.19573616766732</v>
      </c>
      <c r="S178" s="110"/>
      <c r="T178" s="100" t="str">
        <f>'50% Exceedance Baseline'!T178</f>
        <v>Total of all upstream input flow adjusted for streambed loss or gain</v>
      </c>
    </row>
    <row r="179" spans="2:21" ht="15.75" thickBot="1" x14ac:dyDescent="0.3">
      <c r="B179" s="71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3"/>
      <c r="S179" s="110"/>
    </row>
    <row r="180" spans="2:21" ht="15.75" thickBot="1" x14ac:dyDescent="0.3">
      <c r="B180" s="24" t="s">
        <v>59</v>
      </c>
      <c r="C180" s="123">
        <f>'50% Exceedance Baseline'!C180</f>
        <v>817.29318639999997</v>
      </c>
      <c r="D180" s="123">
        <f>'50% Exceedance Baseline'!D180</f>
        <v>453.71796180000001</v>
      </c>
      <c r="E180" s="123">
        <f>'50% Exceedance Baseline'!E180</f>
        <v>311.46826600000003</v>
      </c>
      <c r="F180" s="123">
        <f>'50% Exceedance Baseline'!F180</f>
        <v>178.5945208</v>
      </c>
      <c r="G180" s="123">
        <f>'50% Exceedance Baseline'!G180</f>
        <v>66.637754389999998</v>
      </c>
      <c r="H180" s="123">
        <f>'50% Exceedance Baseline'!H180</f>
        <v>74.634975069999996</v>
      </c>
      <c r="I180" s="123">
        <f>'50% Exceedance Baseline'!I180</f>
        <v>53.302876220000002</v>
      </c>
      <c r="J180" s="123">
        <f>'50% Exceedance Baseline'!J180</f>
        <v>21.727313259999999</v>
      </c>
      <c r="K180" s="123">
        <f>'50% Exceedance Baseline'!K180</f>
        <v>12.124025250000001</v>
      </c>
      <c r="L180" s="123">
        <f>'50% Exceedance Baseline'!L180</f>
        <v>12.608929659999999</v>
      </c>
      <c r="M180" s="123">
        <f>'50% Exceedance Baseline'!M180</f>
        <v>32.104196039999998</v>
      </c>
      <c r="N180" s="123">
        <f>'50% Exceedance Baseline'!N180</f>
        <v>32.17305451</v>
      </c>
      <c r="O180" s="123">
        <f>'50% Exceedance Baseline'!O180</f>
        <v>29.227449570000001</v>
      </c>
      <c r="P180" s="123">
        <f>'50% Exceedance Baseline'!P180</f>
        <v>51.32660954</v>
      </c>
      <c r="Q180" s="123">
        <f>'50% Exceedance Baseline'!Q180</f>
        <v>95.708311359999996</v>
      </c>
      <c r="R180" s="123">
        <f>'50% Exceedance Baseline'!R180</f>
        <v>171.41622050000001</v>
      </c>
      <c r="S180" s="27"/>
      <c r="T180" s="100" t="str">
        <f>'50% Exceedance Baseline'!T180</f>
        <v>Median flow data at S-125 gage (2013-2016)</v>
      </c>
    </row>
    <row r="181" spans="2:21" x14ac:dyDescent="0.25">
      <c r="B181" s="47" t="s">
        <v>42</v>
      </c>
      <c r="C181" s="48">
        <f>C180+C178</f>
        <v>817.29318639999997</v>
      </c>
      <c r="D181" s="48">
        <f t="shared" ref="D181:E181" si="108">D180+D178</f>
        <v>453.71796180000001</v>
      </c>
      <c r="E181" s="48">
        <f t="shared" si="108"/>
        <v>311.46826600000003</v>
      </c>
      <c r="F181" s="48">
        <f>F180+F178</f>
        <v>249.32286803512514</v>
      </c>
      <c r="G181" s="48">
        <f t="shared" ref="G181:H181" si="109">G180+G178</f>
        <v>177.00610678713164</v>
      </c>
      <c r="H181" s="48">
        <f t="shared" si="109"/>
        <v>143.83125080745458</v>
      </c>
      <c r="I181" s="48">
        <f>I180+I178</f>
        <v>97.745501702029543</v>
      </c>
      <c r="J181" s="48">
        <f t="shared" ref="J181:N181" si="110">J180+J178</f>
        <v>67.200362439465749</v>
      </c>
      <c r="K181" s="48">
        <f t="shared" si="110"/>
        <v>50.746249807600464</v>
      </c>
      <c r="L181" s="48">
        <f t="shared" si="110"/>
        <v>52.316988691865284</v>
      </c>
      <c r="M181" s="48">
        <f t="shared" si="110"/>
        <v>89.978113491317018</v>
      </c>
      <c r="N181" s="48">
        <f t="shared" si="110"/>
        <v>88.340784908351594</v>
      </c>
      <c r="O181" s="48">
        <f>O180+O178</f>
        <v>91.552180889465987</v>
      </c>
      <c r="P181" s="48">
        <f>P180+P178</f>
        <v>114.71878291224463</v>
      </c>
      <c r="Q181" s="48">
        <f>Q180+Q178</f>
        <v>142.24974892930956</v>
      </c>
      <c r="R181" s="49">
        <f>R180+R178</f>
        <v>203.61195666766733</v>
      </c>
      <c r="S181" s="111"/>
      <c r="T181" s="100" t="str">
        <f>'50% Exceedance Baseline'!T181</f>
        <v>Flow gage data plus cumulative inputs adjusted for streambed loss or gain</v>
      </c>
    </row>
    <row r="182" spans="2:21" x14ac:dyDescent="0.25">
      <c r="B182" s="10" t="s">
        <v>8</v>
      </c>
      <c r="C182" s="8">
        <f>$C$16</f>
        <v>150</v>
      </c>
      <c r="D182" s="8">
        <f>$D$16</f>
        <v>150</v>
      </c>
      <c r="E182" s="8">
        <f>$E$16</f>
        <v>150</v>
      </c>
      <c r="F182" s="8">
        <f>$F$16</f>
        <v>150</v>
      </c>
      <c r="G182" s="8">
        <f>$G$16</f>
        <v>150</v>
      </c>
      <c r="H182" s="8">
        <f>$H$16</f>
        <v>100</v>
      </c>
      <c r="I182" s="8">
        <f>$I$16</f>
        <v>65</v>
      </c>
      <c r="J182" s="8">
        <f>$J$16</f>
        <v>65</v>
      </c>
      <c r="K182" s="8">
        <f>$K$16</f>
        <v>65</v>
      </c>
      <c r="L182" s="8">
        <f>$L$16</f>
        <v>65</v>
      </c>
      <c r="M182" s="8">
        <f>$M$16</f>
        <v>65</v>
      </c>
      <c r="N182" s="8">
        <f>$N$16</f>
        <v>65</v>
      </c>
      <c r="O182" s="8">
        <f>$O$16</f>
        <v>65</v>
      </c>
      <c r="P182" s="8">
        <f>$P$16</f>
        <v>65</v>
      </c>
      <c r="Q182" s="8">
        <f>$Q$16</f>
        <v>65</v>
      </c>
      <c r="R182" s="9">
        <f>$R$16</f>
        <v>65</v>
      </c>
      <c r="S182" s="112"/>
      <c r="T182" s="100" t="str">
        <f>'50% Exceedance Baseline'!T182</f>
        <v>Target flows</v>
      </c>
    </row>
    <row r="183" spans="2:21" ht="15.75" thickBot="1" x14ac:dyDescent="0.3">
      <c r="B183" s="37" t="s">
        <v>17</v>
      </c>
      <c r="C183" s="38">
        <f>IF(C181&gt;C182,0,(C182-C181)*-1)</f>
        <v>0</v>
      </c>
      <c r="D183" s="38">
        <f t="shared" ref="D183:E183" si="111">IF(D181&gt;D182,0,(D182-D181)*-1)</f>
        <v>0</v>
      </c>
      <c r="E183" s="38">
        <f t="shared" si="111"/>
        <v>0</v>
      </c>
      <c r="F183" s="38">
        <f>IF(F181&gt;F182,0,(F182-F181)*-1)</f>
        <v>0</v>
      </c>
      <c r="G183" s="38">
        <f>IF(G181&gt;G182,0,(G182-G181)*-1)</f>
        <v>0</v>
      </c>
      <c r="H183" s="38">
        <f>IF(H181&gt;H182,0,(H182-H181)*-1)</f>
        <v>0</v>
      </c>
      <c r="I183" s="38">
        <f t="shared" ref="I183:N183" si="112">IF(I181&gt;I182,0,(I182-I181)*-1)</f>
        <v>0</v>
      </c>
      <c r="J183" s="38">
        <f>IF(J181&gt;J182,0,(J182-J181)*-1)</f>
        <v>0</v>
      </c>
      <c r="K183" s="38">
        <f t="shared" si="112"/>
        <v>-14.253750192399536</v>
      </c>
      <c r="L183" s="38">
        <f t="shared" si="112"/>
        <v>-12.683011308134716</v>
      </c>
      <c r="M183" s="38">
        <f t="shared" si="112"/>
        <v>0</v>
      </c>
      <c r="N183" s="38">
        <f t="shared" si="112"/>
        <v>0</v>
      </c>
      <c r="O183" s="38">
        <f>IF(O181&gt;O182,0,(O182-O181)*-1)</f>
        <v>0</v>
      </c>
      <c r="P183" s="38">
        <f>IF(P181&gt;P182,0,(P182-P181)*-1)</f>
        <v>0</v>
      </c>
      <c r="Q183" s="38">
        <f>IF(Q181&gt;Q182,0,(Q182-Q181)*-1)</f>
        <v>0</v>
      </c>
      <c r="R183" s="39">
        <f>IF(R181&gt;R182,0,(R182-R181)*-1)</f>
        <v>0</v>
      </c>
      <c r="S183" s="105"/>
      <c r="T183" s="100" t="str">
        <f>'50% Exceedance Baseline'!T183</f>
        <v>Deficit between target flows and flow gage data plus total adjusted inputs</v>
      </c>
    </row>
    <row r="184" spans="2:21" x14ac:dyDescent="0.2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115"/>
    </row>
    <row r="185" spans="2:21" x14ac:dyDescent="0.25">
      <c r="B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2"/>
      <c r="U185" s="1"/>
    </row>
    <row r="186" spans="2:21" x14ac:dyDescent="0.25">
      <c r="B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2"/>
      <c r="U186" s="1"/>
    </row>
    <row r="187" spans="2:21" x14ac:dyDescent="0.25">
      <c r="B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2"/>
      <c r="U187" s="1"/>
    </row>
    <row r="188" spans="2:21" x14ac:dyDescent="0.25">
      <c r="B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2"/>
      <c r="U188" s="1"/>
    </row>
    <row r="189" spans="2:21" x14ac:dyDescent="0.25">
      <c r="B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2"/>
      <c r="U189" s="1"/>
    </row>
    <row r="190" spans="2:21" x14ac:dyDescent="0.25">
      <c r="B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2"/>
      <c r="U190" s="1"/>
    </row>
    <row r="191" spans="2:21" x14ac:dyDescent="0.25">
      <c r="B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2"/>
      <c r="U191" s="1"/>
    </row>
    <row r="192" spans="2:21" x14ac:dyDescent="0.25">
      <c r="B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2"/>
      <c r="U192" s="1"/>
    </row>
    <row r="193" spans="2:21" x14ac:dyDescent="0.25">
      <c r="B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2"/>
      <c r="U193" s="1"/>
    </row>
    <row r="194" spans="2:21" x14ac:dyDescent="0.25">
      <c r="B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2"/>
      <c r="U194" s="1"/>
    </row>
    <row r="195" spans="2:21" x14ac:dyDescent="0.25">
      <c r="B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2"/>
      <c r="U195" s="1"/>
    </row>
    <row r="196" spans="2:21" x14ac:dyDescent="0.25">
      <c r="B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2"/>
      <c r="U196" s="1"/>
    </row>
    <row r="197" spans="2:21" x14ac:dyDescent="0.25">
      <c r="B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2"/>
      <c r="U197" s="1"/>
    </row>
    <row r="198" spans="2:21" x14ac:dyDescent="0.25">
      <c r="B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2"/>
      <c r="U198" s="1"/>
    </row>
    <row r="199" spans="2:21" x14ac:dyDescent="0.25">
      <c r="B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2"/>
      <c r="U199" s="1"/>
    </row>
    <row r="200" spans="2:21" x14ac:dyDescent="0.25">
      <c r="B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2"/>
      <c r="U200" s="1"/>
    </row>
    <row r="201" spans="2:21" x14ac:dyDescent="0.25">
      <c r="B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2"/>
      <c r="U201" s="1"/>
    </row>
    <row r="202" spans="2:21" x14ac:dyDescent="0.25">
      <c r="B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2"/>
      <c r="U202" s="1"/>
    </row>
  </sheetData>
  <mergeCells count="8">
    <mergeCell ref="O6:P6"/>
    <mergeCell ref="Q6:R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02"/>
  <sheetViews>
    <sheetView zoomScale="80" zoomScaleNormal="80" zoomScalePageLayoutView="125" workbookViewId="0">
      <pane ySplit="17" topLeftCell="A114" activePane="bottomLeft" state="frozen"/>
      <selection pane="bottomLeft" activeCell="C127" sqref="C127:R127"/>
    </sheetView>
  </sheetViews>
  <sheetFormatPr defaultColWidth="8.85546875" defaultRowHeight="15" x14ac:dyDescent="0.25"/>
  <cols>
    <col min="1" max="1" width="4.85546875" style="1" customWidth="1"/>
    <col min="2" max="2" width="55.42578125" style="1" customWidth="1"/>
    <col min="3" max="5" width="8.85546875" style="3" customWidth="1"/>
    <col min="6" max="18" width="8.85546875" style="3"/>
    <col min="19" max="19" width="8.85546875" style="13"/>
    <col min="20" max="20" width="10.140625" style="100" customWidth="1"/>
    <col min="21" max="21" width="8.85546875" style="3"/>
    <col min="22" max="22" width="9" style="1" customWidth="1"/>
    <col min="23" max="23" width="8.85546875" style="1"/>
    <col min="24" max="24" width="18" style="1" customWidth="1"/>
    <col min="25" max="16384" width="8.85546875" style="1"/>
  </cols>
  <sheetData>
    <row r="1" spans="2:25" ht="15.75" thickBot="1" x14ac:dyDescent="0.3"/>
    <row r="2" spans="2:25" x14ac:dyDescent="0.25">
      <c r="B2" s="144" t="s">
        <v>68</v>
      </c>
    </row>
    <row r="3" spans="2:25" x14ac:dyDescent="0.25">
      <c r="B3" s="130" t="s">
        <v>150</v>
      </c>
    </row>
    <row r="4" spans="2:25" ht="18.75" x14ac:dyDescent="0.3">
      <c r="B4" s="74" t="s">
        <v>117</v>
      </c>
      <c r="J4" s="125" t="s">
        <v>106</v>
      </c>
    </row>
    <row r="5" spans="2:25" ht="15.75" thickBot="1" x14ac:dyDescent="0.3">
      <c r="B5" s="134" t="s">
        <v>114</v>
      </c>
    </row>
    <row r="6" spans="2:25" ht="15.75" thickBot="1" x14ac:dyDescent="0.3">
      <c r="B6" s="33"/>
      <c r="C6" s="165" t="s">
        <v>29</v>
      </c>
      <c r="D6" s="165"/>
      <c r="E6" s="165" t="s">
        <v>30</v>
      </c>
      <c r="F6" s="165"/>
      <c r="G6" s="165" t="s">
        <v>31</v>
      </c>
      <c r="H6" s="165"/>
      <c r="I6" s="165" t="s">
        <v>32</v>
      </c>
      <c r="J6" s="165"/>
      <c r="K6" s="165" t="s">
        <v>33</v>
      </c>
      <c r="L6" s="165"/>
      <c r="M6" s="165" t="s">
        <v>34</v>
      </c>
      <c r="N6" s="165"/>
      <c r="O6" s="165" t="s">
        <v>35</v>
      </c>
      <c r="P6" s="165"/>
      <c r="Q6" s="165" t="s">
        <v>105</v>
      </c>
      <c r="R6" s="165"/>
      <c r="S6" s="27"/>
    </row>
    <row r="7" spans="2:25" s="4" customFormat="1" x14ac:dyDescent="0.25">
      <c r="B7" s="51" t="s">
        <v>43</v>
      </c>
      <c r="C7" s="52">
        <f>C35</f>
        <v>0</v>
      </c>
      <c r="D7" s="52">
        <f t="shared" ref="D7:N7" si="0">D35</f>
        <v>0</v>
      </c>
      <c r="E7" s="52">
        <f t="shared" si="0"/>
        <v>0</v>
      </c>
      <c r="F7" s="52">
        <f t="shared" si="0"/>
        <v>0</v>
      </c>
      <c r="G7" s="52">
        <f t="shared" si="0"/>
        <v>0</v>
      </c>
      <c r="H7" s="52">
        <f t="shared" si="0"/>
        <v>0</v>
      </c>
      <c r="I7" s="52">
        <f t="shared" si="0"/>
        <v>0</v>
      </c>
      <c r="J7" s="52">
        <f t="shared" si="0"/>
        <v>0</v>
      </c>
      <c r="K7" s="52">
        <f t="shared" si="0"/>
        <v>0</v>
      </c>
      <c r="L7" s="52">
        <f t="shared" si="0"/>
        <v>0</v>
      </c>
      <c r="M7" s="52">
        <f t="shared" si="0"/>
        <v>0</v>
      </c>
      <c r="N7" s="52">
        <f t="shared" si="0"/>
        <v>0</v>
      </c>
      <c r="O7" s="52">
        <f>O35</f>
        <v>0</v>
      </c>
      <c r="P7" s="52">
        <f>P35</f>
        <v>0</v>
      </c>
      <c r="Q7" s="52">
        <f>Q35</f>
        <v>0</v>
      </c>
      <c r="R7" s="52">
        <f>R35</f>
        <v>0</v>
      </c>
      <c r="S7" s="105"/>
      <c r="T7" s="100"/>
      <c r="U7" s="156"/>
    </row>
    <row r="8" spans="2:25" s="4" customFormat="1" x14ac:dyDescent="0.25">
      <c r="B8" s="53" t="s">
        <v>44</v>
      </c>
      <c r="C8" s="54">
        <f>C58</f>
        <v>0</v>
      </c>
      <c r="D8" s="54">
        <f t="shared" ref="D8:N8" si="1">D58</f>
        <v>0</v>
      </c>
      <c r="E8" s="54">
        <f t="shared" si="1"/>
        <v>0</v>
      </c>
      <c r="F8" s="54">
        <f t="shared" si="1"/>
        <v>0</v>
      </c>
      <c r="G8" s="54">
        <f t="shared" si="1"/>
        <v>0</v>
      </c>
      <c r="H8" s="54">
        <f t="shared" si="1"/>
        <v>0</v>
      </c>
      <c r="I8" s="54">
        <f t="shared" si="1"/>
        <v>0</v>
      </c>
      <c r="J8" s="54">
        <f t="shared" si="1"/>
        <v>0</v>
      </c>
      <c r="K8" s="54">
        <f t="shared" si="1"/>
        <v>0</v>
      </c>
      <c r="L8" s="54">
        <f t="shared" si="1"/>
        <v>0</v>
      </c>
      <c r="M8" s="54">
        <f t="shared" si="1"/>
        <v>0</v>
      </c>
      <c r="N8" s="54">
        <f t="shared" si="1"/>
        <v>0</v>
      </c>
      <c r="O8" s="54">
        <f>O58</f>
        <v>0</v>
      </c>
      <c r="P8" s="54">
        <f>P58</f>
        <v>0</v>
      </c>
      <c r="Q8" s="54">
        <f>Q58</f>
        <v>0</v>
      </c>
      <c r="R8" s="54">
        <f>R58</f>
        <v>0</v>
      </c>
      <c r="S8" s="105"/>
      <c r="T8" s="100"/>
      <c r="U8" s="156"/>
    </row>
    <row r="9" spans="2:25" s="4" customFormat="1" x14ac:dyDescent="0.25">
      <c r="B9" s="53" t="s">
        <v>45</v>
      </c>
      <c r="C9" s="54">
        <f>C77</f>
        <v>0</v>
      </c>
      <c r="D9" s="54">
        <f t="shared" ref="D9:N9" si="2">D77</f>
        <v>0</v>
      </c>
      <c r="E9" s="54">
        <f t="shared" si="2"/>
        <v>0</v>
      </c>
      <c r="F9" s="54">
        <f t="shared" si="2"/>
        <v>0</v>
      </c>
      <c r="G9" s="54">
        <f t="shared" si="2"/>
        <v>0</v>
      </c>
      <c r="H9" s="54">
        <f t="shared" si="2"/>
        <v>0</v>
      </c>
      <c r="I9" s="54">
        <f t="shared" si="2"/>
        <v>0</v>
      </c>
      <c r="J9" s="54">
        <f t="shared" si="2"/>
        <v>0</v>
      </c>
      <c r="K9" s="54">
        <f t="shared" si="2"/>
        <v>0</v>
      </c>
      <c r="L9" s="54">
        <f t="shared" si="2"/>
        <v>0</v>
      </c>
      <c r="M9" s="54">
        <f t="shared" si="2"/>
        <v>0</v>
      </c>
      <c r="N9" s="54">
        <f t="shared" si="2"/>
        <v>0</v>
      </c>
      <c r="O9" s="54">
        <f>O77</f>
        <v>0</v>
      </c>
      <c r="P9" s="54">
        <f>P77</f>
        <v>0</v>
      </c>
      <c r="Q9" s="54">
        <f>Q77</f>
        <v>0</v>
      </c>
      <c r="R9" s="54">
        <f>R77</f>
        <v>0</v>
      </c>
      <c r="S9" s="105"/>
      <c r="T9" s="100"/>
      <c r="U9" s="156"/>
    </row>
    <row r="10" spans="2:25" s="4" customFormat="1" x14ac:dyDescent="0.25">
      <c r="B10" s="53" t="s">
        <v>46</v>
      </c>
      <c r="C10" s="54">
        <f>C101</f>
        <v>0</v>
      </c>
      <c r="D10" s="54">
        <f t="shared" ref="D10:N10" si="3">D101</f>
        <v>0</v>
      </c>
      <c r="E10" s="54">
        <f t="shared" si="3"/>
        <v>0</v>
      </c>
      <c r="F10" s="54">
        <f t="shared" si="3"/>
        <v>0</v>
      </c>
      <c r="G10" s="54">
        <f t="shared" si="3"/>
        <v>0</v>
      </c>
      <c r="H10" s="54">
        <f t="shared" si="3"/>
        <v>0</v>
      </c>
      <c r="I10" s="54">
        <f t="shared" si="3"/>
        <v>0</v>
      </c>
      <c r="J10" s="54">
        <f t="shared" si="3"/>
        <v>0</v>
      </c>
      <c r="K10" s="54">
        <f t="shared" si="3"/>
        <v>0</v>
      </c>
      <c r="L10" s="54">
        <f t="shared" si="3"/>
        <v>0</v>
      </c>
      <c r="M10" s="54">
        <f t="shared" si="3"/>
        <v>0</v>
      </c>
      <c r="N10" s="54">
        <f t="shared" si="3"/>
        <v>0</v>
      </c>
      <c r="O10" s="54">
        <f>O101</f>
        <v>0</v>
      </c>
      <c r="P10" s="54">
        <f>P101</f>
        <v>0</v>
      </c>
      <c r="Q10" s="54">
        <f>Q101</f>
        <v>0</v>
      </c>
      <c r="R10" s="54">
        <f>R101</f>
        <v>0</v>
      </c>
      <c r="S10" s="105"/>
      <c r="T10" s="100"/>
      <c r="U10" s="156"/>
    </row>
    <row r="11" spans="2:25" s="4" customFormat="1" x14ac:dyDescent="0.25">
      <c r="B11" s="53" t="s">
        <v>47</v>
      </c>
      <c r="C11" s="54">
        <f>C122</f>
        <v>0</v>
      </c>
      <c r="D11" s="54">
        <f t="shared" ref="D11:N11" si="4">D122</f>
        <v>0</v>
      </c>
      <c r="E11" s="54">
        <f t="shared" si="4"/>
        <v>0</v>
      </c>
      <c r="F11" s="54">
        <f t="shared" si="4"/>
        <v>0</v>
      </c>
      <c r="G11" s="54">
        <f t="shared" si="4"/>
        <v>0</v>
      </c>
      <c r="H11" s="54">
        <f t="shared" si="4"/>
        <v>0</v>
      </c>
      <c r="I11" s="54">
        <f t="shared" si="4"/>
        <v>0</v>
      </c>
      <c r="J11" s="54">
        <f t="shared" si="4"/>
        <v>0</v>
      </c>
      <c r="K11" s="54">
        <f t="shared" si="4"/>
        <v>0</v>
      </c>
      <c r="L11" s="54">
        <f t="shared" si="4"/>
        <v>0</v>
      </c>
      <c r="M11" s="54">
        <f t="shared" si="4"/>
        <v>0</v>
      </c>
      <c r="N11" s="54">
        <f t="shared" si="4"/>
        <v>0</v>
      </c>
      <c r="O11" s="54">
        <f>O122</f>
        <v>0</v>
      </c>
      <c r="P11" s="54">
        <f>P122</f>
        <v>0</v>
      </c>
      <c r="Q11" s="54">
        <f>Q122</f>
        <v>0</v>
      </c>
      <c r="R11" s="54">
        <f>R122</f>
        <v>0</v>
      </c>
      <c r="S11" s="105"/>
      <c r="T11" s="100"/>
      <c r="U11" s="142"/>
    </row>
    <row r="12" spans="2:25" s="4" customFormat="1" x14ac:dyDescent="0.25">
      <c r="B12" s="53" t="s">
        <v>48</v>
      </c>
      <c r="C12" s="54">
        <f>C143</f>
        <v>0</v>
      </c>
      <c r="D12" s="54">
        <f t="shared" ref="D12:N12" si="5">D143</f>
        <v>0</v>
      </c>
      <c r="E12" s="54">
        <f t="shared" si="5"/>
        <v>0</v>
      </c>
      <c r="F12" s="54">
        <f t="shared" si="5"/>
        <v>0</v>
      </c>
      <c r="G12" s="54">
        <f t="shared" si="5"/>
        <v>0</v>
      </c>
      <c r="H12" s="54">
        <f t="shared" si="5"/>
        <v>0</v>
      </c>
      <c r="I12" s="54">
        <f t="shared" si="5"/>
        <v>0</v>
      </c>
      <c r="J12" s="54">
        <f t="shared" si="5"/>
        <v>0</v>
      </c>
      <c r="K12" s="54">
        <f t="shared" si="5"/>
        <v>0</v>
      </c>
      <c r="L12" s="54">
        <f t="shared" si="5"/>
        <v>0</v>
      </c>
      <c r="M12" s="54">
        <f t="shared" si="5"/>
        <v>0</v>
      </c>
      <c r="N12" s="54">
        <f t="shared" si="5"/>
        <v>0</v>
      </c>
      <c r="O12" s="54">
        <f>O143</f>
        <v>0</v>
      </c>
      <c r="P12" s="54">
        <f>P143</f>
        <v>0</v>
      </c>
      <c r="Q12" s="54">
        <f>Q143</f>
        <v>0</v>
      </c>
      <c r="R12" s="54">
        <f>R143</f>
        <v>0</v>
      </c>
      <c r="S12" s="105"/>
      <c r="T12" s="100"/>
      <c r="U12" s="142"/>
    </row>
    <row r="13" spans="2:25" s="4" customFormat="1" x14ac:dyDescent="0.25">
      <c r="B13" s="53" t="s">
        <v>70</v>
      </c>
      <c r="C13" s="54">
        <f>C164</f>
        <v>0</v>
      </c>
      <c r="D13" s="54">
        <f t="shared" ref="D13:N13" si="6">D164</f>
        <v>0</v>
      </c>
      <c r="E13" s="54">
        <f t="shared" si="6"/>
        <v>0</v>
      </c>
      <c r="F13" s="54">
        <f t="shared" si="6"/>
        <v>0</v>
      </c>
      <c r="G13" s="54">
        <f t="shared" si="6"/>
        <v>0</v>
      </c>
      <c r="H13" s="54">
        <f t="shared" si="6"/>
        <v>0</v>
      </c>
      <c r="I13" s="54">
        <f t="shared" si="6"/>
        <v>0</v>
      </c>
      <c r="J13" s="54">
        <f t="shared" si="6"/>
        <v>0</v>
      </c>
      <c r="K13" s="54">
        <f t="shared" si="6"/>
        <v>0</v>
      </c>
      <c r="L13" s="54">
        <f t="shared" si="6"/>
        <v>0</v>
      </c>
      <c r="M13" s="54">
        <f t="shared" si="6"/>
        <v>0</v>
      </c>
      <c r="N13" s="54">
        <f t="shared" si="6"/>
        <v>0</v>
      </c>
      <c r="O13" s="54">
        <f>O164</f>
        <v>0</v>
      </c>
      <c r="P13" s="54">
        <f>P164</f>
        <v>0</v>
      </c>
      <c r="Q13" s="54">
        <f>Q164</f>
        <v>0</v>
      </c>
      <c r="R13" s="54">
        <f>R164</f>
        <v>0</v>
      </c>
      <c r="S13" s="105"/>
      <c r="T13" s="100"/>
      <c r="U13" s="156"/>
    </row>
    <row r="14" spans="2:25" s="4" customFormat="1" ht="15.75" thickBot="1" x14ac:dyDescent="0.3">
      <c r="B14" s="55" t="s">
        <v>49</v>
      </c>
      <c r="C14" s="56">
        <f>C183</f>
        <v>0</v>
      </c>
      <c r="D14" s="56">
        <f t="shared" ref="D14:N14" si="7">D183</f>
        <v>0</v>
      </c>
      <c r="E14" s="56">
        <f t="shared" si="7"/>
        <v>0</v>
      </c>
      <c r="F14" s="56">
        <f t="shared" si="7"/>
        <v>0</v>
      </c>
      <c r="G14" s="56">
        <f t="shared" si="7"/>
        <v>0</v>
      </c>
      <c r="H14" s="56">
        <f t="shared" si="7"/>
        <v>0</v>
      </c>
      <c r="I14" s="56">
        <f t="shared" si="7"/>
        <v>0</v>
      </c>
      <c r="J14" s="56">
        <f t="shared" si="7"/>
        <v>0</v>
      </c>
      <c r="K14" s="56">
        <f t="shared" si="7"/>
        <v>0</v>
      </c>
      <c r="L14" s="56">
        <f t="shared" si="7"/>
        <v>-5.0821699882810591</v>
      </c>
      <c r="M14" s="56">
        <f t="shared" si="7"/>
        <v>0</v>
      </c>
      <c r="N14" s="56">
        <f t="shared" si="7"/>
        <v>0</v>
      </c>
      <c r="O14" s="56">
        <f>O183</f>
        <v>0</v>
      </c>
      <c r="P14" s="56">
        <f>P183</f>
        <v>0</v>
      </c>
      <c r="Q14" s="56">
        <f>Q183</f>
        <v>0</v>
      </c>
      <c r="R14" s="56">
        <f>R183</f>
        <v>0</v>
      </c>
      <c r="S14" s="105"/>
      <c r="T14" s="101" t="s">
        <v>131</v>
      </c>
      <c r="U14" s="31"/>
      <c r="V14" s="32"/>
      <c r="W14" s="32"/>
      <c r="X14" s="146">
        <f>SUM(U44,U47,U111,U129)+3000-(U41+U105+U126)</f>
        <v>31978.935000000005</v>
      </c>
      <c r="Y14" s="11" t="s">
        <v>125</v>
      </c>
    </row>
    <row r="15" spans="2:25" ht="15.75" thickBot="1" x14ac:dyDescent="0.3">
      <c r="T15" s="145" t="s">
        <v>129</v>
      </c>
      <c r="U15" s="147"/>
      <c r="V15" s="148"/>
      <c r="W15" s="148"/>
      <c r="X15" s="149">
        <f>SUM(X14)</f>
        <v>31978.935000000005</v>
      </c>
    </row>
    <row r="16" spans="2:25" s="4" customFormat="1" ht="15.75" thickBot="1" x14ac:dyDescent="0.3">
      <c r="B16" s="75" t="s">
        <v>107</v>
      </c>
      <c r="C16" s="45">
        <v>150</v>
      </c>
      <c r="D16" s="45">
        <v>150</v>
      </c>
      <c r="E16" s="45">
        <v>150</v>
      </c>
      <c r="F16" s="45">
        <v>150</v>
      </c>
      <c r="G16" s="45">
        <v>150</v>
      </c>
      <c r="H16" s="45">
        <v>100</v>
      </c>
      <c r="I16" s="45">
        <v>65</v>
      </c>
      <c r="J16" s="45">
        <v>65</v>
      </c>
      <c r="K16" s="45">
        <v>65</v>
      </c>
      <c r="L16" s="45">
        <v>65</v>
      </c>
      <c r="M16" s="45">
        <v>65</v>
      </c>
      <c r="N16" s="45">
        <v>65</v>
      </c>
      <c r="O16" s="45">
        <v>65</v>
      </c>
      <c r="P16" s="45">
        <v>65</v>
      </c>
      <c r="Q16" s="45">
        <v>65</v>
      </c>
      <c r="R16" s="45">
        <v>65</v>
      </c>
      <c r="S16" s="27"/>
      <c r="T16" s="150" t="s">
        <v>132</v>
      </c>
      <c r="U16" s="32"/>
      <c r="V16" s="32"/>
      <c r="W16" s="32"/>
      <c r="X16" s="146">
        <f>SUM(C7:R14)*15*1.9835</f>
        <v>-151.2072625763322</v>
      </c>
    </row>
    <row r="17" spans="2:21" s="28" customFormat="1" x14ac:dyDescent="0.25">
      <c r="B17" s="7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02"/>
      <c r="U17" s="27"/>
    </row>
    <row r="18" spans="2:21" s="4" customFormat="1" ht="15.75" thickBot="1" x14ac:dyDescent="0.3">
      <c r="B18" s="77" t="s">
        <v>50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101" t="str">
        <f>'50% Exceedance Baseline'!T18</f>
        <v>NOTES</v>
      </c>
      <c r="U18" s="156"/>
    </row>
    <row r="19" spans="2:21" s="11" customFormat="1" ht="15.75" thickBot="1" x14ac:dyDescent="0.3">
      <c r="B19" s="78" t="s">
        <v>5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121">
        <v>0</v>
      </c>
      <c r="R19" s="46">
        <v>0</v>
      </c>
      <c r="S19" s="105"/>
      <c r="T19" s="100" t="str">
        <f>'50% Exceedance Baseline'!T19</f>
        <v>Flow input above Mgt. Pt. 1</v>
      </c>
      <c r="U19" s="8"/>
    </row>
    <row r="20" spans="2:21" s="11" customFormat="1" x14ac:dyDescent="0.25">
      <c r="B20" s="79" t="s">
        <v>7</v>
      </c>
      <c r="C20" s="16">
        <f>IF(C34&gt;C33,((C34-C33)*-1),((C33-C34)))</f>
        <v>315.58645360000003</v>
      </c>
      <c r="D20" s="16">
        <f t="shared" ref="D20:E20" si="8">IF(D34&gt;D33,((D34-D33)*-1),((D33-D34)))</f>
        <v>250.7977975</v>
      </c>
      <c r="E20" s="16">
        <f t="shared" si="8"/>
        <v>234.0911236</v>
      </c>
      <c r="F20" s="16">
        <f>IF(F34&gt;F33,((F34-F33)*-1),((F33-F34)))</f>
        <v>105.40185410000001</v>
      </c>
      <c r="G20" s="16">
        <f>IF(G34&gt;G33,((G34-G33)*-1),((G33-G34)))</f>
        <v>72.051147100000009</v>
      </c>
      <c r="H20" s="16">
        <f t="shared" ref="H20:R20" si="9">IF(H34&gt;H33,((H34-H33)*-1),((H33-H34)))</f>
        <v>74.015495399999992</v>
      </c>
      <c r="I20" s="16">
        <f t="shared" si="9"/>
        <v>64.093295299999994</v>
      </c>
      <c r="J20" s="16">
        <f t="shared" si="9"/>
        <v>43.301793500000002</v>
      </c>
      <c r="K20" s="16">
        <f t="shared" si="9"/>
        <v>36.390017099999994</v>
      </c>
      <c r="L20" s="16">
        <f t="shared" si="9"/>
        <v>34.097356379999994</v>
      </c>
      <c r="M20" s="16">
        <f t="shared" si="9"/>
        <v>35.555049600000004</v>
      </c>
      <c r="N20" s="16">
        <f t="shared" si="9"/>
        <v>40.275458499999999</v>
      </c>
      <c r="O20" s="16">
        <f t="shared" si="9"/>
        <v>44.218186099999997</v>
      </c>
      <c r="P20" s="16">
        <f t="shared" si="9"/>
        <v>44.636585600000004</v>
      </c>
      <c r="Q20" s="16">
        <f t="shared" si="9"/>
        <v>49.726156500000002</v>
      </c>
      <c r="R20" s="14">
        <f t="shared" si="9"/>
        <v>64.693781599999994</v>
      </c>
      <c r="S20" s="18"/>
      <c r="T20" s="100" t="str">
        <f>'50% Exceedance Baseline'!T20</f>
        <v>Flow target surplus or deficit after input</v>
      </c>
      <c r="U20" s="8"/>
    </row>
    <row r="21" spans="2:21" s="11" customFormat="1" ht="15.75" thickBot="1" x14ac:dyDescent="0.3">
      <c r="B21" s="8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7"/>
      <c r="S21" s="18"/>
      <c r="T21" s="100"/>
      <c r="U21" s="8"/>
    </row>
    <row r="22" spans="2:21" ht="15.75" thickBot="1" x14ac:dyDescent="0.3">
      <c r="B22" s="73" t="s">
        <v>6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121">
        <v>0</v>
      </c>
      <c r="R22" s="46">
        <v>0</v>
      </c>
      <c r="S22" s="105"/>
      <c r="T22" s="100" t="str">
        <f>'50% Exceedance Baseline'!T22</f>
        <v>Flow input above Mgt. Pt. 1</v>
      </c>
    </row>
    <row r="23" spans="2:21" s="4" customFormat="1" x14ac:dyDescent="0.25">
      <c r="B23" s="79" t="s">
        <v>7</v>
      </c>
      <c r="C23" s="16">
        <f>IF(C34&gt;C33,((C34-C33)*-1),((C33-C34)))</f>
        <v>315.58645360000003</v>
      </c>
      <c r="D23" s="16">
        <f t="shared" ref="D23:R23" si="10">IF(D34&gt;D33,((D34-D33)*-1),((D33-D34)))</f>
        <v>250.7977975</v>
      </c>
      <c r="E23" s="16">
        <f t="shared" si="10"/>
        <v>234.0911236</v>
      </c>
      <c r="F23" s="16">
        <f t="shared" si="10"/>
        <v>105.40185410000001</v>
      </c>
      <c r="G23" s="16">
        <f t="shared" si="10"/>
        <v>72.051147100000009</v>
      </c>
      <c r="H23" s="16">
        <f t="shared" si="10"/>
        <v>74.015495399999992</v>
      </c>
      <c r="I23" s="16">
        <f t="shared" si="10"/>
        <v>64.093295299999994</v>
      </c>
      <c r="J23" s="16">
        <f t="shared" si="10"/>
        <v>43.301793500000002</v>
      </c>
      <c r="K23" s="16">
        <f t="shared" si="10"/>
        <v>36.390017099999994</v>
      </c>
      <c r="L23" s="16">
        <f t="shared" si="10"/>
        <v>34.097356379999994</v>
      </c>
      <c r="M23" s="16">
        <f t="shared" si="10"/>
        <v>35.555049600000004</v>
      </c>
      <c r="N23" s="16">
        <f t="shared" si="10"/>
        <v>40.275458499999999</v>
      </c>
      <c r="O23" s="16">
        <f t="shared" si="10"/>
        <v>44.218186099999997</v>
      </c>
      <c r="P23" s="16">
        <f t="shared" si="10"/>
        <v>44.636585600000004</v>
      </c>
      <c r="Q23" s="16">
        <f t="shared" si="10"/>
        <v>49.726156500000002</v>
      </c>
      <c r="R23" s="14">
        <f t="shared" si="10"/>
        <v>64.693781599999994</v>
      </c>
      <c r="S23" s="18"/>
      <c r="T23" s="100" t="str">
        <f>'50% Exceedance Baseline'!T23</f>
        <v>Flow target surplus or deficit after input</v>
      </c>
      <c r="U23" s="156"/>
    </row>
    <row r="24" spans="2:21" s="26" customFormat="1" ht="15.75" thickBot="1" x14ac:dyDescent="0.3">
      <c r="B24" s="8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7"/>
      <c r="S24" s="18"/>
      <c r="T24" s="100"/>
      <c r="U24" s="25"/>
    </row>
    <row r="25" spans="2:21" s="4" customFormat="1" ht="15.75" thickBot="1" x14ac:dyDescent="0.3">
      <c r="B25" s="73" t="s">
        <v>60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121">
        <v>0</v>
      </c>
      <c r="R25" s="46">
        <v>0</v>
      </c>
      <c r="S25" s="105"/>
      <c r="T25" s="100" t="str">
        <f>'50% Exceedance Baseline'!T25</f>
        <v>Flow input above Mgt. Pt. 1</v>
      </c>
      <c r="U25" s="156"/>
    </row>
    <row r="26" spans="2:21" s="4" customFormat="1" x14ac:dyDescent="0.25">
      <c r="B26" s="79" t="s">
        <v>7</v>
      </c>
      <c r="C26" s="16">
        <f>IF(C34&gt;C33,((C34-C33)*-1),((C33-C34)))</f>
        <v>315.58645360000003</v>
      </c>
      <c r="D26" s="16">
        <f t="shared" ref="D26:R26" si="11">IF(D34&gt;D33,((D34-D33)*-1),((D33-D34)))</f>
        <v>250.7977975</v>
      </c>
      <c r="E26" s="16">
        <f t="shared" si="11"/>
        <v>234.0911236</v>
      </c>
      <c r="F26" s="16">
        <f t="shared" si="11"/>
        <v>105.40185410000001</v>
      </c>
      <c r="G26" s="16">
        <f t="shared" si="11"/>
        <v>72.051147100000009</v>
      </c>
      <c r="H26" s="16">
        <f t="shared" si="11"/>
        <v>74.015495399999992</v>
      </c>
      <c r="I26" s="16">
        <f t="shared" si="11"/>
        <v>64.093295299999994</v>
      </c>
      <c r="J26" s="16">
        <f t="shared" si="11"/>
        <v>43.301793500000002</v>
      </c>
      <c r="K26" s="16">
        <f t="shared" si="11"/>
        <v>36.390017099999994</v>
      </c>
      <c r="L26" s="16">
        <f t="shared" si="11"/>
        <v>34.097356379999994</v>
      </c>
      <c r="M26" s="16">
        <f t="shared" si="11"/>
        <v>35.555049600000004</v>
      </c>
      <c r="N26" s="16">
        <f t="shared" si="11"/>
        <v>40.275458499999999</v>
      </c>
      <c r="O26" s="16">
        <f t="shared" si="11"/>
        <v>44.218186099999997</v>
      </c>
      <c r="P26" s="16">
        <f t="shared" si="11"/>
        <v>44.636585600000004</v>
      </c>
      <c r="Q26" s="16">
        <f t="shared" si="11"/>
        <v>49.726156500000002</v>
      </c>
      <c r="R26" s="14">
        <f t="shared" si="11"/>
        <v>64.693781599999994</v>
      </c>
      <c r="S26" s="18"/>
      <c r="T26" s="100" t="str">
        <f>'50% Exceedance Baseline'!T26</f>
        <v>Flow target surplus or deficit after input</v>
      </c>
      <c r="U26" s="156"/>
    </row>
    <row r="27" spans="2:21" s="4" customFormat="1" x14ac:dyDescent="0.25">
      <c r="B27" s="81" t="s">
        <v>19</v>
      </c>
      <c r="C27" s="18">
        <f t="shared" ref="C27:F27" si="12">SUM(C19+C22+C25)</f>
        <v>0</v>
      </c>
      <c r="D27" s="18">
        <f t="shared" si="12"/>
        <v>0</v>
      </c>
      <c r="E27" s="18">
        <f t="shared" si="12"/>
        <v>0</v>
      </c>
      <c r="F27" s="18">
        <f t="shared" si="12"/>
        <v>0</v>
      </c>
      <c r="G27" s="18">
        <f>SUM(G19+G22+G25)</f>
        <v>0</v>
      </c>
      <c r="H27" s="18">
        <f t="shared" ref="H27:N27" si="13">SUM(H19+H22+H25)</f>
        <v>0</v>
      </c>
      <c r="I27" s="18">
        <f t="shared" si="13"/>
        <v>0</v>
      </c>
      <c r="J27" s="18">
        <f t="shared" si="13"/>
        <v>0</v>
      </c>
      <c r="K27" s="18">
        <f t="shared" si="13"/>
        <v>0</v>
      </c>
      <c r="L27" s="18">
        <f t="shared" si="13"/>
        <v>0</v>
      </c>
      <c r="M27" s="18">
        <f t="shared" si="13"/>
        <v>0</v>
      </c>
      <c r="N27" s="18">
        <f t="shared" si="13"/>
        <v>0</v>
      </c>
      <c r="O27" s="18">
        <f>SUM(O19+O22+O25)</f>
        <v>0</v>
      </c>
      <c r="P27" s="18">
        <f>SUM(P19+P22+P25)</f>
        <v>0</v>
      </c>
      <c r="Q27" s="18">
        <f>SUM(Q19+Q22+Q25)</f>
        <v>0</v>
      </c>
      <c r="R27" s="17">
        <f>SUM(R19+R22+R25)</f>
        <v>0</v>
      </c>
      <c r="S27" s="18"/>
      <c r="T27" s="100" t="str">
        <f>'50% Exceedance Baseline'!T27</f>
        <v>Subtotal of all inputs in reach above Milton-Freewater</v>
      </c>
      <c r="U27" s="156"/>
    </row>
    <row r="28" spans="2:21" s="4" customFormat="1" ht="15.75" thickBot="1" x14ac:dyDescent="0.3">
      <c r="B28" s="8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7"/>
      <c r="S28" s="18"/>
      <c r="T28" s="100"/>
      <c r="U28" s="156"/>
    </row>
    <row r="29" spans="2:21" s="64" customFormat="1" ht="15.75" thickBot="1" x14ac:dyDescent="0.3">
      <c r="B29" s="70" t="s">
        <v>28</v>
      </c>
      <c r="C29" s="82">
        <f>'50% Exceedance Baseline'!C29</f>
        <v>0.113</v>
      </c>
      <c r="D29" s="82">
        <f>'50% Exceedance Baseline'!D29</f>
        <v>0.113</v>
      </c>
      <c r="E29" s="82">
        <f>'50% Exceedance Baseline'!E29</f>
        <v>0.113</v>
      </c>
      <c r="F29" s="82">
        <f>'50% Exceedance Baseline'!F29</f>
        <v>0.113</v>
      </c>
      <c r="G29" s="82">
        <f>'50% Exceedance Baseline'!G29</f>
        <v>0.113</v>
      </c>
      <c r="H29" s="82">
        <f>'50% Exceedance Baseline'!H29</f>
        <v>0.113</v>
      </c>
      <c r="I29" s="82">
        <f>'50% Exceedance Baseline'!I29</f>
        <v>8.6999999999999994E-2</v>
      </c>
      <c r="J29" s="82">
        <f>'50% Exceedance Baseline'!J29</f>
        <v>8.6999999999999994E-2</v>
      </c>
      <c r="K29" s="82">
        <f>'50% Exceedance Baseline'!K29</f>
        <v>0.20699999999999999</v>
      </c>
      <c r="L29" s="82">
        <f>'50% Exceedance Baseline'!L29</f>
        <v>0.20699999999999999</v>
      </c>
      <c r="M29" s="82">
        <f>'50% Exceedance Baseline'!M29</f>
        <v>0.12</v>
      </c>
      <c r="N29" s="82">
        <f>'50% Exceedance Baseline'!N29</f>
        <v>0.12</v>
      </c>
      <c r="O29" s="82">
        <f>'50% Exceedance Baseline'!O29</f>
        <v>0.26700000000000002</v>
      </c>
      <c r="P29" s="82">
        <f>'50% Exceedance Baseline'!P29</f>
        <v>0.26700000000000002</v>
      </c>
      <c r="Q29" s="69">
        <f>'50% Exceedance Baseline'!Q29</f>
        <v>-0.14099999999999999</v>
      </c>
      <c r="R29" s="69">
        <f>'50% Exceedance Baseline'!R29</f>
        <v>-0.14099999999999999</v>
      </c>
      <c r="S29" s="106"/>
      <c r="T29" s="100" t="str">
        <f>'50% Exceedance Baseline'!T29</f>
        <v>Percentage total inputs lost or gained due to streambed hydrology (2002-2015 WWBWC seepage data)</v>
      </c>
      <c r="U29" s="83"/>
    </row>
    <row r="30" spans="2:21" s="4" customFormat="1" x14ac:dyDescent="0.25">
      <c r="B30" s="84" t="s">
        <v>20</v>
      </c>
      <c r="C30" s="57">
        <f>SUM(C27)*(1+C29)</f>
        <v>0</v>
      </c>
      <c r="D30" s="57">
        <f t="shared" ref="D30:N30" si="14">SUM(D27)*(1+D29)</f>
        <v>0</v>
      </c>
      <c r="E30" s="57">
        <f t="shared" si="14"/>
        <v>0</v>
      </c>
      <c r="F30" s="57">
        <f t="shared" si="14"/>
        <v>0</v>
      </c>
      <c r="G30" s="57">
        <f t="shared" si="14"/>
        <v>0</v>
      </c>
      <c r="H30" s="57">
        <f t="shared" si="14"/>
        <v>0</v>
      </c>
      <c r="I30" s="57">
        <f t="shared" si="14"/>
        <v>0</v>
      </c>
      <c r="J30" s="57">
        <f t="shared" si="14"/>
        <v>0</v>
      </c>
      <c r="K30" s="57">
        <f t="shared" si="14"/>
        <v>0</v>
      </c>
      <c r="L30" s="57">
        <f t="shared" si="14"/>
        <v>0</v>
      </c>
      <c r="M30" s="57">
        <f t="shared" si="14"/>
        <v>0</v>
      </c>
      <c r="N30" s="57">
        <f t="shared" si="14"/>
        <v>0</v>
      </c>
      <c r="O30" s="57">
        <f>SUM(O27)*(1+O29)</f>
        <v>0</v>
      </c>
      <c r="P30" s="57">
        <f>SUM(P27)*(1+P29)</f>
        <v>0</v>
      </c>
      <c r="Q30" s="57">
        <f>SUM(Q27)*(1+Q29)</f>
        <v>0</v>
      </c>
      <c r="R30" s="58">
        <f>SUM(R27)*(1+R29)</f>
        <v>0</v>
      </c>
      <c r="S30" s="110"/>
      <c r="T30" s="100" t="str">
        <f>'50% Exceedance Baseline'!T30</f>
        <v>Total of all upstream input flow adjusted for streambed loss or gain</v>
      </c>
      <c r="U30" s="156"/>
    </row>
    <row r="31" spans="2:21" s="4" customFormat="1" ht="15.75" thickBot="1" x14ac:dyDescent="0.3">
      <c r="B31" s="7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110"/>
      <c r="T31" s="100"/>
      <c r="U31" s="156"/>
    </row>
    <row r="32" spans="2:21" ht="15.75" thickBot="1" x14ac:dyDescent="0.3">
      <c r="B32" s="24" t="s">
        <v>52</v>
      </c>
      <c r="C32" s="123">
        <f>'50% Exceedance Baseline'!C32</f>
        <v>465.58645360000003</v>
      </c>
      <c r="D32" s="123">
        <f>'50% Exceedance Baseline'!D32</f>
        <v>400.7977975</v>
      </c>
      <c r="E32" s="123">
        <f>'50% Exceedance Baseline'!E32</f>
        <v>384.0911236</v>
      </c>
      <c r="F32" s="123">
        <f>'50% Exceedance Baseline'!F32</f>
        <v>255.40185410000001</v>
      </c>
      <c r="G32" s="123">
        <f>'50% Exceedance Baseline'!G32</f>
        <v>222.05114710000001</v>
      </c>
      <c r="H32" s="123">
        <f>'50% Exceedance Baseline'!H32</f>
        <v>174.01549539999999</v>
      </c>
      <c r="I32" s="123">
        <f>'50% Exceedance Baseline'!I32</f>
        <v>129.09329529999999</v>
      </c>
      <c r="J32" s="123">
        <f>'50% Exceedance Baseline'!J32</f>
        <v>108.3017935</v>
      </c>
      <c r="K32" s="123">
        <f>'50% Exceedance Baseline'!K32</f>
        <v>101.39001709999999</v>
      </c>
      <c r="L32" s="123">
        <f>'50% Exceedance Baseline'!L32</f>
        <v>99.097356379999994</v>
      </c>
      <c r="M32" s="123">
        <f>'50% Exceedance Baseline'!M32</f>
        <v>100.5550496</v>
      </c>
      <c r="N32" s="123">
        <f>'50% Exceedance Baseline'!N32</f>
        <v>105.2754585</v>
      </c>
      <c r="O32" s="123">
        <f>'50% Exceedance Baseline'!O32</f>
        <v>109.2181861</v>
      </c>
      <c r="P32" s="123">
        <f>'50% Exceedance Baseline'!P32</f>
        <v>109.6365856</v>
      </c>
      <c r="Q32" s="123">
        <f>'50% Exceedance Baseline'!Q32</f>
        <v>114.7261565</v>
      </c>
      <c r="R32" s="123">
        <f>'50% Exceedance Baseline'!R32</f>
        <v>129.69378159999999</v>
      </c>
      <c r="S32" s="27"/>
      <c r="T32" s="100" t="str">
        <f>'50% Exceedance Baseline'!T32</f>
        <v>Median flow data at S-105 gage (2002-2016)</v>
      </c>
    </row>
    <row r="33" spans="2:26" x14ac:dyDescent="0.25">
      <c r="B33" s="47" t="s">
        <v>36</v>
      </c>
      <c r="C33" s="48">
        <f>C32+C30</f>
        <v>465.58645360000003</v>
      </c>
      <c r="D33" s="48">
        <f t="shared" ref="D33:N33" si="15">D32+D30</f>
        <v>400.7977975</v>
      </c>
      <c r="E33" s="48">
        <f t="shared" si="15"/>
        <v>384.0911236</v>
      </c>
      <c r="F33" s="48">
        <f t="shared" si="15"/>
        <v>255.40185410000001</v>
      </c>
      <c r="G33" s="48">
        <f t="shared" si="15"/>
        <v>222.05114710000001</v>
      </c>
      <c r="H33" s="48">
        <f t="shared" si="15"/>
        <v>174.01549539999999</v>
      </c>
      <c r="I33" s="48">
        <f t="shared" si="15"/>
        <v>129.09329529999999</v>
      </c>
      <c r="J33" s="48">
        <f t="shared" si="15"/>
        <v>108.3017935</v>
      </c>
      <c r="K33" s="48">
        <f t="shared" si="15"/>
        <v>101.39001709999999</v>
      </c>
      <c r="L33" s="48">
        <f t="shared" si="15"/>
        <v>99.097356379999994</v>
      </c>
      <c r="M33" s="48">
        <f t="shared" si="15"/>
        <v>100.5550496</v>
      </c>
      <c r="N33" s="48">
        <f t="shared" si="15"/>
        <v>105.2754585</v>
      </c>
      <c r="O33" s="48">
        <f>O32+O30</f>
        <v>109.2181861</v>
      </c>
      <c r="P33" s="48">
        <f>P32+P30</f>
        <v>109.6365856</v>
      </c>
      <c r="Q33" s="48">
        <f>Q32+Q30</f>
        <v>114.7261565</v>
      </c>
      <c r="R33" s="49">
        <f>R32+R30</f>
        <v>129.69378159999999</v>
      </c>
      <c r="S33" s="111"/>
      <c r="T33" s="100" t="str">
        <f>'50% Exceedance Baseline'!T33</f>
        <v>Flow gage data plus cumulative inputs adjusted for streambed loss or gain</v>
      </c>
    </row>
    <row r="34" spans="2:26" s="4" customFormat="1" x14ac:dyDescent="0.25">
      <c r="B34" s="10" t="s">
        <v>8</v>
      </c>
      <c r="C34" s="8">
        <f>$C$16</f>
        <v>150</v>
      </c>
      <c r="D34" s="8">
        <f>$D$16</f>
        <v>150</v>
      </c>
      <c r="E34" s="8">
        <f>$E$16</f>
        <v>150</v>
      </c>
      <c r="F34" s="8">
        <f>$F$16</f>
        <v>150</v>
      </c>
      <c r="G34" s="8">
        <f>$G$16</f>
        <v>150</v>
      </c>
      <c r="H34" s="8">
        <f>$H$16</f>
        <v>100</v>
      </c>
      <c r="I34" s="8">
        <f>$I$16</f>
        <v>65</v>
      </c>
      <c r="J34" s="8">
        <f>$J$16</f>
        <v>65</v>
      </c>
      <c r="K34" s="8">
        <f>$K$16</f>
        <v>65</v>
      </c>
      <c r="L34" s="8">
        <f>$L$16</f>
        <v>65</v>
      </c>
      <c r="M34" s="8">
        <f>$M$16</f>
        <v>65</v>
      </c>
      <c r="N34" s="8">
        <f>$N$16</f>
        <v>65</v>
      </c>
      <c r="O34" s="8">
        <f>$O$16</f>
        <v>65</v>
      </c>
      <c r="P34" s="8">
        <f>$P$16</f>
        <v>65</v>
      </c>
      <c r="Q34" s="8">
        <f>$Q$16</f>
        <v>65</v>
      </c>
      <c r="R34" s="9">
        <f>$R$16</f>
        <v>65</v>
      </c>
      <c r="S34" s="112"/>
      <c r="T34" s="100" t="str">
        <f>'50% Exceedance Baseline'!T34</f>
        <v>Target flows</v>
      </c>
      <c r="U34" s="156"/>
    </row>
    <row r="35" spans="2:26" s="4" customFormat="1" ht="15.75" thickBot="1" x14ac:dyDescent="0.3">
      <c r="B35" s="37" t="s">
        <v>9</v>
      </c>
      <c r="C35" s="38">
        <f>IF(C33&gt;C34,0,(C34-C33)*-1)</f>
        <v>0</v>
      </c>
      <c r="D35" s="38">
        <f t="shared" ref="D35:N35" si="16">IF(D33&gt;D34,0,(D34-D33)*-1)</f>
        <v>0</v>
      </c>
      <c r="E35" s="38">
        <f t="shared" si="16"/>
        <v>0</v>
      </c>
      <c r="F35" s="38">
        <f t="shared" si="16"/>
        <v>0</v>
      </c>
      <c r="G35" s="38">
        <f t="shared" si="16"/>
        <v>0</v>
      </c>
      <c r="H35" s="38">
        <f t="shared" si="16"/>
        <v>0</v>
      </c>
      <c r="I35" s="38">
        <f t="shared" si="16"/>
        <v>0</v>
      </c>
      <c r="J35" s="38">
        <f t="shared" si="16"/>
        <v>0</v>
      </c>
      <c r="K35" s="38">
        <f t="shared" si="16"/>
        <v>0</v>
      </c>
      <c r="L35" s="38">
        <f t="shared" si="16"/>
        <v>0</v>
      </c>
      <c r="M35" s="38">
        <f t="shared" si="16"/>
        <v>0</v>
      </c>
      <c r="N35" s="38">
        <f t="shared" si="16"/>
        <v>0</v>
      </c>
      <c r="O35" s="38">
        <f>IF(O33&gt;O34,0,(O34-O33)*-1)</f>
        <v>0</v>
      </c>
      <c r="P35" s="38">
        <f>IF(P33&gt;P34,0,(P34-P33)*-1)</f>
        <v>0</v>
      </c>
      <c r="Q35" s="38">
        <f>IF(Q33&gt;Q34,0,(Q34-Q33)*-1)</f>
        <v>0</v>
      </c>
      <c r="R35" s="39">
        <f>IF(R33&gt;R34,0,(R34-R33)*-1)</f>
        <v>0</v>
      </c>
      <c r="S35" s="105"/>
      <c r="T35" s="100" t="str">
        <f>'50% Exceedance Baseline'!T35</f>
        <v>Deficit between target flows and flow gage data plus total adjusted inputs</v>
      </c>
      <c r="U35" s="156"/>
    </row>
    <row r="36" spans="2:26" s="4" customFormat="1" x14ac:dyDescent="0.25">
      <c r="B36" s="3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18"/>
      <c r="T36" s="100"/>
      <c r="U36" s="156"/>
    </row>
    <row r="37" spans="2:26" s="4" customFormat="1" x14ac:dyDescent="0.25">
      <c r="B37" s="85" t="s">
        <v>1</v>
      </c>
      <c r="C37" s="8">
        <f>'50% Exceedance Baseline'!C37</f>
        <v>87</v>
      </c>
      <c r="D37" s="8">
        <f>'50% Exceedance Baseline'!D37</f>
        <v>92</v>
      </c>
      <c r="E37" s="8">
        <f>'50% Exceedance Baseline'!E37</f>
        <v>97</v>
      </c>
      <c r="F37" s="8">
        <f>'50% Exceedance Baseline'!F37</f>
        <v>101</v>
      </c>
      <c r="G37" s="8">
        <f>'50% Exceedance Baseline'!G37</f>
        <v>103</v>
      </c>
      <c r="H37" s="8">
        <f>'50% Exceedance Baseline'!H37</f>
        <v>100</v>
      </c>
      <c r="I37" s="8">
        <f>'50% Exceedance Baseline'!I37</f>
        <v>85</v>
      </c>
      <c r="J37" s="8">
        <f>'50% Exceedance Baseline'!J37</f>
        <v>68</v>
      </c>
      <c r="K37" s="8">
        <f>'50% Exceedance Baseline'!K37</f>
        <v>59</v>
      </c>
      <c r="L37" s="8">
        <f>'50% Exceedance Baseline'!L37</f>
        <v>60</v>
      </c>
      <c r="M37" s="8">
        <f>'50% Exceedance Baseline'!M37</f>
        <v>62</v>
      </c>
      <c r="N37" s="8">
        <f>'50% Exceedance Baseline'!N37</f>
        <v>64</v>
      </c>
      <c r="O37" s="8">
        <f>'50% Exceedance Baseline'!O37</f>
        <v>69</v>
      </c>
      <c r="P37" s="8">
        <f>'50% Exceedance Baseline'!P37</f>
        <v>70</v>
      </c>
      <c r="Q37" s="8">
        <f>'50% Exceedance Baseline'!Q37</f>
        <v>60</v>
      </c>
      <c r="R37" s="8">
        <f>'50% Exceedance Baseline'!R37</f>
        <v>60</v>
      </c>
      <c r="S37" s="112"/>
      <c r="T37" s="100"/>
      <c r="U37" s="156"/>
    </row>
    <row r="38" spans="2:26" s="4" customFormat="1" x14ac:dyDescent="0.25">
      <c r="B38" s="85" t="s">
        <v>0</v>
      </c>
      <c r="C38" s="8">
        <f>'50% Exceedance Baseline'!C38</f>
        <v>5</v>
      </c>
      <c r="D38" s="8">
        <f>'50% Exceedance Baseline'!D38</f>
        <v>5</v>
      </c>
      <c r="E38" s="8">
        <f>'50% Exceedance Baseline'!E38</f>
        <v>5</v>
      </c>
      <c r="F38" s="8">
        <f>'50% Exceedance Baseline'!F38</f>
        <v>5</v>
      </c>
      <c r="G38" s="8">
        <f>'50% Exceedance Baseline'!G38</f>
        <v>5</v>
      </c>
      <c r="H38" s="8">
        <f>'50% Exceedance Baseline'!H38</f>
        <v>5</v>
      </c>
      <c r="I38" s="8">
        <f>'50% Exceedance Baseline'!I38</f>
        <v>5</v>
      </c>
      <c r="J38" s="8">
        <f>'50% Exceedance Baseline'!J38</f>
        <v>5</v>
      </c>
      <c r="K38" s="8">
        <f>'50% Exceedance Baseline'!K38</f>
        <v>5</v>
      </c>
      <c r="L38" s="8">
        <f>'50% Exceedance Baseline'!L38</f>
        <v>5</v>
      </c>
      <c r="M38" s="8">
        <f>'50% Exceedance Baseline'!M38</f>
        <v>5</v>
      </c>
      <c r="N38" s="8">
        <f>'50% Exceedance Baseline'!N38</f>
        <v>5</v>
      </c>
      <c r="O38" s="8">
        <f>'50% Exceedance Baseline'!O38</f>
        <v>5</v>
      </c>
      <c r="P38" s="8">
        <f>'50% Exceedance Baseline'!P38</f>
        <v>5</v>
      </c>
      <c r="Q38" s="8">
        <f>'50% Exceedance Baseline'!Q38</f>
        <v>0</v>
      </c>
      <c r="R38" s="8">
        <f>'50% Exceedance Baseline'!R38</f>
        <v>0</v>
      </c>
      <c r="S38" s="112"/>
      <c r="T38" s="100"/>
      <c r="U38" s="156"/>
    </row>
    <row r="39" spans="2:26" s="4" customFormat="1" x14ac:dyDescent="0.25">
      <c r="B39" s="86" t="s">
        <v>4</v>
      </c>
      <c r="C39" s="8">
        <f t="shared" ref="C39:R39" si="17">C37+C38</f>
        <v>92</v>
      </c>
      <c r="D39" s="8">
        <f t="shared" si="17"/>
        <v>97</v>
      </c>
      <c r="E39" s="8">
        <f t="shared" si="17"/>
        <v>102</v>
      </c>
      <c r="F39" s="8">
        <f t="shared" si="17"/>
        <v>106</v>
      </c>
      <c r="G39" s="8">
        <f t="shared" si="17"/>
        <v>108</v>
      </c>
      <c r="H39" s="8">
        <f t="shared" si="17"/>
        <v>105</v>
      </c>
      <c r="I39" s="8">
        <f t="shared" si="17"/>
        <v>90</v>
      </c>
      <c r="J39" s="8">
        <f t="shared" si="17"/>
        <v>73</v>
      </c>
      <c r="K39" s="8">
        <f t="shared" si="17"/>
        <v>64</v>
      </c>
      <c r="L39" s="8">
        <f t="shared" si="17"/>
        <v>65</v>
      </c>
      <c r="M39" s="8">
        <f t="shared" si="17"/>
        <v>67</v>
      </c>
      <c r="N39" s="8">
        <f t="shared" si="17"/>
        <v>69</v>
      </c>
      <c r="O39" s="8">
        <f t="shared" si="17"/>
        <v>74</v>
      </c>
      <c r="P39" s="8">
        <f t="shared" si="17"/>
        <v>75</v>
      </c>
      <c r="Q39" s="8">
        <f t="shared" si="17"/>
        <v>60</v>
      </c>
      <c r="R39" s="8">
        <f t="shared" si="17"/>
        <v>60</v>
      </c>
      <c r="S39" s="112"/>
      <c r="T39" s="100"/>
      <c r="U39" s="156"/>
    </row>
    <row r="40" spans="2:26" s="4" customFormat="1" x14ac:dyDescent="0.25">
      <c r="B40" s="86" t="s">
        <v>133</v>
      </c>
      <c r="C40" s="152">
        <f>C32-C34</f>
        <v>315.58645360000003</v>
      </c>
      <c r="D40" s="152">
        <f t="shared" ref="D40:R40" si="18">D32-D34</f>
        <v>250.7977975</v>
      </c>
      <c r="E40" s="152">
        <f t="shared" si="18"/>
        <v>234.0911236</v>
      </c>
      <c r="F40" s="152">
        <f t="shared" si="18"/>
        <v>105.40185410000001</v>
      </c>
      <c r="G40" s="152">
        <f>G32-G34</f>
        <v>72.051147100000009</v>
      </c>
      <c r="H40" s="152">
        <f t="shared" si="18"/>
        <v>74.015495399999992</v>
      </c>
      <c r="I40" s="152">
        <f t="shared" si="18"/>
        <v>64.093295299999994</v>
      </c>
      <c r="J40" s="152">
        <f t="shared" si="18"/>
        <v>43.301793500000002</v>
      </c>
      <c r="K40" s="152">
        <f t="shared" si="18"/>
        <v>36.390017099999994</v>
      </c>
      <c r="L40" s="152">
        <f t="shared" si="18"/>
        <v>34.097356379999994</v>
      </c>
      <c r="M40" s="152">
        <f t="shared" si="18"/>
        <v>35.555049600000004</v>
      </c>
      <c r="N40" s="152">
        <f t="shared" si="18"/>
        <v>40.275458499999999</v>
      </c>
      <c r="O40" s="152">
        <f t="shared" si="18"/>
        <v>44.218186099999997</v>
      </c>
      <c r="P40" s="152">
        <f t="shared" si="18"/>
        <v>44.636585600000004</v>
      </c>
      <c r="Q40" s="152">
        <f t="shared" si="18"/>
        <v>49.726156500000002</v>
      </c>
      <c r="R40" s="152">
        <f t="shared" si="18"/>
        <v>64.693781599999994</v>
      </c>
      <c r="S40" s="112"/>
      <c r="T40" s="100"/>
      <c r="U40" s="156"/>
    </row>
    <row r="41" spans="2:26" ht="15.75" thickBot="1" x14ac:dyDescent="0.3">
      <c r="B41" s="59" t="s">
        <v>64</v>
      </c>
      <c r="C41" s="3">
        <f>IF(C42&gt;0,10,0)</f>
        <v>0</v>
      </c>
      <c r="D41" s="3">
        <f t="shared" ref="D41:J41" si="19">IF(D42&gt;0,10,0)</f>
        <v>0</v>
      </c>
      <c r="E41" s="3">
        <f t="shared" si="19"/>
        <v>0</v>
      </c>
      <c r="F41" s="3">
        <f t="shared" si="19"/>
        <v>10</v>
      </c>
      <c r="G41" s="3">
        <f t="shared" si="19"/>
        <v>10</v>
      </c>
      <c r="H41" s="3">
        <f t="shared" si="19"/>
        <v>10</v>
      </c>
      <c r="I41" s="3">
        <f t="shared" si="19"/>
        <v>10</v>
      </c>
      <c r="J41" s="3">
        <f t="shared" si="19"/>
        <v>10</v>
      </c>
      <c r="K41" s="3">
        <f>IF(K42&gt;0,7,0)</f>
        <v>7</v>
      </c>
      <c r="L41" s="3">
        <f t="shared" ref="L41:R41" si="20">IF(L42&gt;0,7,0)</f>
        <v>7</v>
      </c>
      <c r="M41" s="3">
        <f t="shared" si="20"/>
        <v>7</v>
      </c>
      <c r="N41" s="3">
        <f t="shared" si="20"/>
        <v>7</v>
      </c>
      <c r="O41" s="3">
        <f t="shared" si="20"/>
        <v>7</v>
      </c>
      <c r="P41" s="3">
        <f t="shared" si="20"/>
        <v>7</v>
      </c>
      <c r="Q41" s="3">
        <f t="shared" si="20"/>
        <v>7</v>
      </c>
      <c r="R41" s="3">
        <f t="shared" si="20"/>
        <v>7</v>
      </c>
      <c r="T41" s="101" t="s">
        <v>118</v>
      </c>
      <c r="U41" s="139">
        <f>SUM(C41:R41)*15*1.9835</f>
        <v>3153.7649999999999</v>
      </c>
      <c r="V41" s="11" t="s">
        <v>123</v>
      </c>
      <c r="W41" s="11"/>
      <c r="X41" s="11"/>
      <c r="Y41" s="11"/>
    </row>
    <row r="42" spans="2:26" s="30" customFormat="1" ht="15.75" thickBot="1" x14ac:dyDescent="0.3">
      <c r="B42" s="72" t="s">
        <v>112</v>
      </c>
      <c r="C42" s="46">
        <v>0</v>
      </c>
      <c r="D42" s="46">
        <v>0</v>
      </c>
      <c r="E42" s="46">
        <v>0</v>
      </c>
      <c r="F42" s="46">
        <v>41</v>
      </c>
      <c r="G42" s="46">
        <v>108</v>
      </c>
      <c r="H42" s="46">
        <v>85</v>
      </c>
      <c r="I42" s="46">
        <v>71</v>
      </c>
      <c r="J42" s="46">
        <v>70</v>
      </c>
      <c r="K42" s="46">
        <v>64</v>
      </c>
      <c r="L42" s="46">
        <v>65</v>
      </c>
      <c r="M42" s="46">
        <v>67</v>
      </c>
      <c r="N42" s="46">
        <v>68</v>
      </c>
      <c r="O42" s="46">
        <v>50</v>
      </c>
      <c r="P42" s="46">
        <v>52</v>
      </c>
      <c r="Q42" s="46">
        <v>38</v>
      </c>
      <c r="R42" s="46">
        <v>27</v>
      </c>
      <c r="S42" s="105"/>
      <c r="T42" s="100" t="str">
        <f>'50% Exceedance Baseline'!T42</f>
        <v>Flow input between Mgt. Pt. 1 and Mgt. Pt. 2</v>
      </c>
      <c r="U42" s="29"/>
    </row>
    <row r="43" spans="2:26" s="128" customFormat="1" x14ac:dyDescent="0.25">
      <c r="B43" s="79" t="s">
        <v>7</v>
      </c>
      <c r="C43" s="16">
        <f>IF(C57&gt;C56,((C57-C56)*-1),((C56-C57)))</f>
        <v>129.75</v>
      </c>
      <c r="D43" s="16">
        <f t="shared" ref="D43:E43" si="21">IF(D57&gt;D56,((D57-D56)*-1),((D56-D57)))</f>
        <v>77.25</v>
      </c>
      <c r="E43" s="16">
        <f t="shared" si="21"/>
        <v>61.5</v>
      </c>
      <c r="F43" s="16">
        <f>IF(F57&gt;F56,((F57-F56)*-1),((F56-F57)))</f>
        <v>0.28999999999999204</v>
      </c>
      <c r="G43" s="16">
        <f>IF(G57&gt;G56,((G57-G56)*-1),((G56-G57)))</f>
        <v>16.853425469999991</v>
      </c>
      <c r="H43" s="16">
        <f t="shared" ref="H43:R43" si="22">IF(H57&gt;H56,((H57-H56)*-1),((H56-H57)))</f>
        <v>22.054954629999997</v>
      </c>
      <c r="I43" s="16">
        <f t="shared" si="22"/>
        <v>27.687835520000007</v>
      </c>
      <c r="J43" s="16">
        <f t="shared" si="22"/>
        <v>27.062286459999996</v>
      </c>
      <c r="K43" s="16">
        <f t="shared" si="22"/>
        <v>67.621497110000007</v>
      </c>
      <c r="L43" s="16">
        <f t="shared" si="22"/>
        <v>51.721113110000005</v>
      </c>
      <c r="M43" s="16">
        <f t="shared" si="22"/>
        <v>25.962395839999999</v>
      </c>
      <c r="N43" s="16">
        <f t="shared" si="22"/>
        <v>24.584833339999989</v>
      </c>
      <c r="O43" s="16">
        <f t="shared" si="22"/>
        <v>18.97338542</v>
      </c>
      <c r="P43" s="16">
        <f t="shared" si="22"/>
        <v>25.380871490000004</v>
      </c>
      <c r="Q43" s="16">
        <f t="shared" si="22"/>
        <v>20.230371560000009</v>
      </c>
      <c r="R43" s="14">
        <f t="shared" si="22"/>
        <v>27.957124999999991</v>
      </c>
      <c r="S43" s="18"/>
      <c r="T43" s="100" t="str">
        <f>'50% Exceedance Baseline'!T43</f>
        <v>Flow target surplus or deficit after input</v>
      </c>
      <c r="U43" s="127"/>
      <c r="Z43" s="129"/>
    </row>
    <row r="44" spans="2:26" s="5" customFormat="1" ht="15.75" thickBot="1" x14ac:dyDescent="0.3">
      <c r="B44" s="135" t="s">
        <v>115</v>
      </c>
      <c r="C44" s="136">
        <f t="shared" ref="C44:R44" si="23">C42*15*1.9835</f>
        <v>0</v>
      </c>
      <c r="D44" s="136">
        <f t="shared" si="23"/>
        <v>0</v>
      </c>
      <c r="E44" s="136">
        <f t="shared" si="23"/>
        <v>0</v>
      </c>
      <c r="F44" s="136">
        <f>F42*15*1.9835</f>
        <v>1219.8525</v>
      </c>
      <c r="G44" s="136">
        <f>G42*15*1.9835</f>
        <v>3213.27</v>
      </c>
      <c r="H44" s="136">
        <f t="shared" si="23"/>
        <v>2528.9625000000001</v>
      </c>
      <c r="I44" s="136">
        <f t="shared" si="23"/>
        <v>2112.4275000000002</v>
      </c>
      <c r="J44" s="136">
        <f t="shared" si="23"/>
        <v>2082.6750000000002</v>
      </c>
      <c r="K44" s="136">
        <f t="shared" si="23"/>
        <v>1904.16</v>
      </c>
      <c r="L44" s="136">
        <f t="shared" si="23"/>
        <v>1933.9125000000001</v>
      </c>
      <c r="M44" s="136">
        <f t="shared" si="23"/>
        <v>1993.4175</v>
      </c>
      <c r="N44" s="136">
        <f t="shared" si="23"/>
        <v>2023.17</v>
      </c>
      <c r="O44" s="136">
        <f t="shared" si="23"/>
        <v>1487.625</v>
      </c>
      <c r="P44" s="136">
        <f t="shared" si="23"/>
        <v>1547.13</v>
      </c>
      <c r="Q44" s="136">
        <f t="shared" si="23"/>
        <v>1130.595</v>
      </c>
      <c r="R44" s="137">
        <f t="shared" si="23"/>
        <v>803.3175</v>
      </c>
      <c r="S44" s="18"/>
      <c r="T44" s="101" t="s">
        <v>118</v>
      </c>
      <c r="U44" s="139">
        <f>SUM(C44:R44)</f>
        <v>23980.515000000007</v>
      </c>
    </row>
    <row r="45" spans="2:26" ht="15.75" thickBot="1" x14ac:dyDescent="0.3">
      <c r="B45" s="73" t="s">
        <v>126</v>
      </c>
      <c r="C45" s="46">
        <v>0</v>
      </c>
      <c r="D45" s="46">
        <v>0</v>
      </c>
      <c r="E45" s="46">
        <v>0</v>
      </c>
      <c r="F45" s="46">
        <v>0</v>
      </c>
      <c r="G45" s="46">
        <v>31</v>
      </c>
      <c r="H45" s="46">
        <v>6</v>
      </c>
      <c r="I45" s="46">
        <v>0</v>
      </c>
      <c r="J45" s="46">
        <v>0</v>
      </c>
      <c r="K45" s="46">
        <v>47</v>
      </c>
      <c r="L45" s="46">
        <v>30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105"/>
      <c r="T45" s="100" t="str">
        <f>'50% Exceedance Baseline'!T45</f>
        <v>Flow input between Mgt. Pt. 1 and Mgt. Pt. 2</v>
      </c>
    </row>
    <row r="46" spans="2:26" s="12" customFormat="1" x14ac:dyDescent="0.25">
      <c r="B46" s="79" t="s">
        <v>7</v>
      </c>
      <c r="C46" s="16">
        <f>IF(C57&gt;C56,((C57-C56)*-1),((C56-C57)))</f>
        <v>129.75</v>
      </c>
      <c r="D46" s="16">
        <f t="shared" ref="D46:R46" si="24">IF(D57&gt;D56,((D57-D56)*-1),((D56-D57)))</f>
        <v>77.25</v>
      </c>
      <c r="E46" s="16">
        <f t="shared" si="24"/>
        <v>61.5</v>
      </c>
      <c r="F46" s="16">
        <f t="shared" si="24"/>
        <v>0.28999999999999204</v>
      </c>
      <c r="G46" s="16">
        <f t="shared" si="24"/>
        <v>16.853425469999991</v>
      </c>
      <c r="H46" s="16">
        <f t="shared" si="24"/>
        <v>22.054954629999997</v>
      </c>
      <c r="I46" s="16">
        <f t="shared" si="24"/>
        <v>27.687835520000007</v>
      </c>
      <c r="J46" s="16">
        <f t="shared" si="24"/>
        <v>27.062286459999996</v>
      </c>
      <c r="K46" s="16">
        <f t="shared" si="24"/>
        <v>67.621497110000007</v>
      </c>
      <c r="L46" s="16">
        <f t="shared" si="24"/>
        <v>51.721113110000005</v>
      </c>
      <c r="M46" s="16">
        <f t="shared" si="24"/>
        <v>25.962395839999999</v>
      </c>
      <c r="N46" s="16">
        <f t="shared" si="24"/>
        <v>24.584833339999989</v>
      </c>
      <c r="O46" s="16">
        <f t="shared" si="24"/>
        <v>18.97338542</v>
      </c>
      <c r="P46" s="16">
        <f t="shared" si="24"/>
        <v>25.380871490000004</v>
      </c>
      <c r="Q46" s="16">
        <f t="shared" si="24"/>
        <v>20.230371560000009</v>
      </c>
      <c r="R46" s="14">
        <f t="shared" si="24"/>
        <v>27.957124999999991</v>
      </c>
      <c r="S46" s="18"/>
      <c r="T46" s="100" t="str">
        <f>'50% Exceedance Baseline'!T46</f>
        <v>Flow target surplus or deficit after input</v>
      </c>
      <c r="U46" s="13"/>
    </row>
    <row r="47" spans="2:26" s="138" customFormat="1" ht="15.75" thickBot="1" x14ac:dyDescent="0.3">
      <c r="B47" s="135" t="s">
        <v>115</v>
      </c>
      <c r="C47" s="136">
        <f t="shared" ref="C47:R47" si="25">C45*15*1.9835</f>
        <v>0</v>
      </c>
      <c r="D47" s="136">
        <f t="shared" si="25"/>
        <v>0</v>
      </c>
      <c r="E47" s="136">
        <f t="shared" si="25"/>
        <v>0</v>
      </c>
      <c r="F47" s="136">
        <f t="shared" si="25"/>
        <v>0</v>
      </c>
      <c r="G47" s="136">
        <f>G45*15*1.9835</f>
        <v>922.32749999999999</v>
      </c>
      <c r="H47" s="136">
        <f t="shared" si="25"/>
        <v>178.51500000000001</v>
      </c>
      <c r="I47" s="136">
        <f t="shared" si="25"/>
        <v>0</v>
      </c>
      <c r="J47" s="136">
        <f t="shared" si="25"/>
        <v>0</v>
      </c>
      <c r="K47" s="136">
        <f t="shared" si="25"/>
        <v>1398.3675000000001</v>
      </c>
      <c r="L47" s="136">
        <f t="shared" si="25"/>
        <v>892.57500000000005</v>
      </c>
      <c r="M47" s="136">
        <f t="shared" si="25"/>
        <v>0</v>
      </c>
      <c r="N47" s="136">
        <f t="shared" si="25"/>
        <v>0</v>
      </c>
      <c r="O47" s="136">
        <f t="shared" si="25"/>
        <v>0</v>
      </c>
      <c r="P47" s="136">
        <f t="shared" si="25"/>
        <v>0</v>
      </c>
      <c r="Q47" s="136">
        <f t="shared" si="25"/>
        <v>0</v>
      </c>
      <c r="R47" s="137">
        <f t="shared" si="25"/>
        <v>0</v>
      </c>
      <c r="S47" s="136"/>
      <c r="T47" s="101" t="s">
        <v>118</v>
      </c>
      <c r="U47" s="139">
        <f>SUM(C47:R47)</f>
        <v>3391.7849999999999</v>
      </c>
    </row>
    <row r="48" spans="2:26" ht="15.75" thickBot="1" x14ac:dyDescent="0.3">
      <c r="B48" s="73" t="s">
        <v>60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121">
        <v>0</v>
      </c>
      <c r="R48" s="46">
        <v>0</v>
      </c>
      <c r="S48" s="105"/>
      <c r="T48" s="100" t="str">
        <f>'50% Exceedance Baseline'!T48</f>
        <v>Flow input between Mgt. Pt. 1 and Mgt. Pt. 2</v>
      </c>
    </row>
    <row r="49" spans="2:21" x14ac:dyDescent="0.25">
      <c r="B49" s="79" t="s">
        <v>7</v>
      </c>
      <c r="C49" s="16">
        <f>IF(C57&gt;C56,((C57-C56)*-1),((C56-C57)))</f>
        <v>129.75</v>
      </c>
      <c r="D49" s="16">
        <f t="shared" ref="D49:R49" si="26">IF(D57&gt;D56,((D57-D56)*-1),((D56-D57)))</f>
        <v>77.25</v>
      </c>
      <c r="E49" s="16">
        <f t="shared" si="26"/>
        <v>61.5</v>
      </c>
      <c r="F49" s="16">
        <f t="shared" si="26"/>
        <v>0.28999999999999204</v>
      </c>
      <c r="G49" s="16">
        <f t="shared" si="26"/>
        <v>16.853425469999991</v>
      </c>
      <c r="H49" s="16">
        <f t="shared" si="26"/>
        <v>22.054954629999997</v>
      </c>
      <c r="I49" s="16">
        <f t="shared" si="26"/>
        <v>27.687835520000007</v>
      </c>
      <c r="J49" s="16">
        <f t="shared" si="26"/>
        <v>27.062286459999996</v>
      </c>
      <c r="K49" s="16">
        <f t="shared" si="26"/>
        <v>67.621497110000007</v>
      </c>
      <c r="L49" s="16">
        <f t="shared" si="26"/>
        <v>51.721113110000005</v>
      </c>
      <c r="M49" s="16">
        <f t="shared" si="26"/>
        <v>25.962395839999999</v>
      </c>
      <c r="N49" s="16">
        <f t="shared" si="26"/>
        <v>24.584833339999989</v>
      </c>
      <c r="O49" s="16">
        <f t="shared" si="26"/>
        <v>18.97338542</v>
      </c>
      <c r="P49" s="16">
        <f t="shared" si="26"/>
        <v>25.380871490000004</v>
      </c>
      <c r="Q49" s="16">
        <f t="shared" si="26"/>
        <v>20.230371560000009</v>
      </c>
      <c r="R49" s="14">
        <f t="shared" si="26"/>
        <v>27.957124999999991</v>
      </c>
      <c r="S49" s="18"/>
      <c r="T49" s="100" t="str">
        <f>'50% Exceedance Baseline'!T49</f>
        <v>Flow target surplus or deficit after input</v>
      </c>
    </row>
    <row r="50" spans="2:21" x14ac:dyDescent="0.25">
      <c r="B50" s="81" t="s">
        <v>21</v>
      </c>
      <c r="C50" s="18">
        <f t="shared" ref="C50:N50" si="27">SUM(C42+C45+C48)</f>
        <v>0</v>
      </c>
      <c r="D50" s="18">
        <f t="shared" si="27"/>
        <v>0</v>
      </c>
      <c r="E50" s="18">
        <f t="shared" si="27"/>
        <v>0</v>
      </c>
      <c r="F50" s="18">
        <f t="shared" si="27"/>
        <v>41</v>
      </c>
      <c r="G50" s="18">
        <f>SUM(G42+G45+G48)</f>
        <v>139</v>
      </c>
      <c r="H50" s="18">
        <f t="shared" si="27"/>
        <v>91</v>
      </c>
      <c r="I50" s="18">
        <f t="shared" si="27"/>
        <v>71</v>
      </c>
      <c r="J50" s="18">
        <f t="shared" si="27"/>
        <v>70</v>
      </c>
      <c r="K50" s="18">
        <f t="shared" si="27"/>
        <v>111</v>
      </c>
      <c r="L50" s="18">
        <f t="shared" si="27"/>
        <v>95</v>
      </c>
      <c r="M50" s="18">
        <f t="shared" si="27"/>
        <v>67</v>
      </c>
      <c r="N50" s="18">
        <f t="shared" si="27"/>
        <v>68</v>
      </c>
      <c r="O50" s="18">
        <f>SUM(O42+O45+O48)</f>
        <v>50</v>
      </c>
      <c r="P50" s="18">
        <f>SUM(P42+P45+P48)</f>
        <v>52</v>
      </c>
      <c r="Q50" s="18">
        <f>SUM(Q42+Q45+Q48)</f>
        <v>38</v>
      </c>
      <c r="R50" s="17">
        <f>SUM(R42+R45+R48)</f>
        <v>27</v>
      </c>
      <c r="S50" s="18"/>
      <c r="T50" s="100" t="str">
        <f>'50% Exceedance Baseline'!T50</f>
        <v>Subtotal of all inputs in Milton-Freewater to Nursery Bridge reach</v>
      </c>
    </row>
    <row r="51" spans="2:21" ht="15.75" thickBot="1" x14ac:dyDescent="0.3">
      <c r="B51" s="80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7"/>
      <c r="S51" s="18"/>
    </row>
    <row r="52" spans="2:21" s="64" customFormat="1" ht="15.75" thickBot="1" x14ac:dyDescent="0.3">
      <c r="B52" s="70" t="s">
        <v>69</v>
      </c>
      <c r="C52" s="69">
        <f>'50% Exceedance Baseline'!C52</f>
        <v>-0.06</v>
      </c>
      <c r="D52" s="69">
        <f>'50% Exceedance Baseline'!D52</f>
        <v>-0.06</v>
      </c>
      <c r="E52" s="69">
        <f>'50% Exceedance Baseline'!E52</f>
        <v>-0.06</v>
      </c>
      <c r="F52" s="69">
        <f>'50% Exceedance Baseline'!F52</f>
        <v>-0.06</v>
      </c>
      <c r="G52" s="69">
        <f>'50% Exceedance Baseline'!G52</f>
        <v>-0.06</v>
      </c>
      <c r="H52" s="69">
        <f>'50% Exceedance Baseline'!H52</f>
        <v>-0.06</v>
      </c>
      <c r="I52" s="69">
        <f>'50% Exceedance Baseline'!I52</f>
        <v>-9.9000000000000005E-2</v>
      </c>
      <c r="J52" s="69">
        <f>'50% Exceedance Baseline'!J52</f>
        <v>-9.9000000000000005E-2</v>
      </c>
      <c r="K52" s="69">
        <f>'50% Exceedance Baseline'!K52</f>
        <v>-0.09</v>
      </c>
      <c r="L52" s="69">
        <f>'50% Exceedance Baseline'!L52</f>
        <v>-0.09</v>
      </c>
      <c r="M52" s="69">
        <f>'50% Exceedance Baseline'!M52</f>
        <v>-0.13700000000000001</v>
      </c>
      <c r="N52" s="69">
        <f>'50% Exceedance Baseline'!N52</f>
        <v>-0.13700000000000001</v>
      </c>
      <c r="O52" s="82">
        <f>'50% Exceedance Baseline'!O52</f>
        <v>6.0000000000000001E-3</v>
      </c>
      <c r="P52" s="82">
        <f>'50% Exceedance Baseline'!P52</f>
        <v>6.0000000000000001E-3</v>
      </c>
      <c r="Q52" s="69">
        <f>'50% Exceedance Baseline'!Q52</f>
        <v>-5.8999999999999997E-2</v>
      </c>
      <c r="R52" s="69">
        <f>'50% Exceedance Baseline'!R52</f>
        <v>-5.8999999999999997E-2</v>
      </c>
      <c r="S52" s="107"/>
      <c r="T52" s="100" t="str">
        <f>'50% Exceedance Baseline'!T52</f>
        <v>Percentage total inputs lost or gained due to streambed hydrology (2002-2015 WWBWC seepage data)</v>
      </c>
      <c r="U52" s="83"/>
    </row>
    <row r="53" spans="2:21" x14ac:dyDescent="0.25">
      <c r="B53" s="84" t="s">
        <v>20</v>
      </c>
      <c r="C53" s="57">
        <f t="shared" ref="C53:R53" si="28">SUM(C50+C30)*(1+C52)</f>
        <v>0</v>
      </c>
      <c r="D53" s="57">
        <f t="shared" si="28"/>
        <v>0</v>
      </c>
      <c r="E53" s="57">
        <f t="shared" si="28"/>
        <v>0</v>
      </c>
      <c r="F53" s="57">
        <f t="shared" si="28"/>
        <v>38.54</v>
      </c>
      <c r="G53" s="57">
        <f t="shared" si="28"/>
        <v>130.66</v>
      </c>
      <c r="H53" s="57">
        <f t="shared" si="28"/>
        <v>85.539999999999992</v>
      </c>
      <c r="I53" s="57">
        <f t="shared" si="28"/>
        <v>63.971000000000004</v>
      </c>
      <c r="J53" s="57">
        <f t="shared" si="28"/>
        <v>63.07</v>
      </c>
      <c r="K53" s="57">
        <f t="shared" si="28"/>
        <v>101.01</v>
      </c>
      <c r="L53" s="57">
        <f t="shared" si="28"/>
        <v>86.45</v>
      </c>
      <c r="M53" s="57">
        <f t="shared" si="28"/>
        <v>57.820999999999998</v>
      </c>
      <c r="N53" s="57">
        <f t="shared" si="28"/>
        <v>58.683999999999997</v>
      </c>
      <c r="O53" s="57">
        <f t="shared" si="28"/>
        <v>50.3</v>
      </c>
      <c r="P53" s="57">
        <f t="shared" si="28"/>
        <v>52.311999999999998</v>
      </c>
      <c r="Q53" s="57">
        <f t="shared" si="28"/>
        <v>35.758000000000003</v>
      </c>
      <c r="R53" s="58">
        <f t="shared" si="28"/>
        <v>25.407</v>
      </c>
      <c r="S53" s="110"/>
      <c r="T53" s="100" t="str">
        <f>'50% Exceedance Baseline'!T53</f>
        <v>Total of all upstream input flow adjusted for streambed loss or gain</v>
      </c>
    </row>
    <row r="54" spans="2:21" ht="15.75" thickBot="1" x14ac:dyDescent="0.3">
      <c r="B54" s="7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3"/>
      <c r="S54" s="110"/>
    </row>
    <row r="55" spans="2:21" ht="15.75" thickBot="1" x14ac:dyDescent="0.3">
      <c r="B55" s="24" t="s">
        <v>53</v>
      </c>
      <c r="C55" s="50">
        <f>'50% Exceedance Baseline'!C55</f>
        <v>279.75</v>
      </c>
      <c r="D55" s="50">
        <f>'50% Exceedance Baseline'!D55</f>
        <v>227.25</v>
      </c>
      <c r="E55" s="50">
        <f>'50% Exceedance Baseline'!E55</f>
        <v>211.5</v>
      </c>
      <c r="F55" s="50">
        <f>'50% Exceedance Baseline'!F55</f>
        <v>111.75</v>
      </c>
      <c r="G55" s="132">
        <f>'50% Exceedance Baseline'!G55</f>
        <v>36.193425470000001</v>
      </c>
      <c r="H55" s="132">
        <f>'50% Exceedance Baseline'!H55</f>
        <v>36.514954629999998</v>
      </c>
      <c r="I55" s="132">
        <f>'50% Exceedance Baseline'!I55</f>
        <v>28.71683552</v>
      </c>
      <c r="J55" s="132">
        <f>'50% Exceedance Baseline'!J55</f>
        <v>28.992286459999999</v>
      </c>
      <c r="K55" s="132">
        <f>'50% Exceedance Baseline'!K55</f>
        <v>31.611497109999998</v>
      </c>
      <c r="L55" s="132">
        <f>'50% Exceedance Baseline'!L55</f>
        <v>30.271113110000002</v>
      </c>
      <c r="M55" s="132">
        <f>'50% Exceedance Baseline'!M55</f>
        <v>33.141395840000001</v>
      </c>
      <c r="N55" s="132">
        <f>'50% Exceedance Baseline'!N55</f>
        <v>30.900833339999998</v>
      </c>
      <c r="O55" s="132">
        <f>'50% Exceedance Baseline'!O55</f>
        <v>33.673385420000002</v>
      </c>
      <c r="P55" s="132">
        <f>'50% Exceedance Baseline'!P55</f>
        <v>38.068871489999999</v>
      </c>
      <c r="Q55" s="132">
        <f>'50% Exceedance Baseline'!Q55</f>
        <v>49.472371559999999</v>
      </c>
      <c r="R55" s="132">
        <f>'50% Exceedance Baseline'!R55</f>
        <v>67.550124999999994</v>
      </c>
      <c r="S55" s="19"/>
      <c r="T55" s="100" t="str">
        <f>'50% Exceedance Baseline'!T55</f>
        <v>Median flow data at S-106 gage (2002-2016; April - May estimated)</v>
      </c>
    </row>
    <row r="56" spans="2:21" x14ac:dyDescent="0.25">
      <c r="B56" s="47" t="s">
        <v>37</v>
      </c>
      <c r="C56" s="48">
        <f>C55+C53</f>
        <v>279.75</v>
      </c>
      <c r="D56" s="48">
        <f t="shared" ref="D56:E56" si="29">D55+D53</f>
        <v>227.25</v>
      </c>
      <c r="E56" s="48">
        <f t="shared" si="29"/>
        <v>211.5</v>
      </c>
      <c r="F56" s="48">
        <f>F55+F53</f>
        <v>150.29</v>
      </c>
      <c r="G56" s="48">
        <f>G55+G53</f>
        <v>166.85342546999999</v>
      </c>
      <c r="H56" s="48">
        <f t="shared" ref="H56" si="30">H55+H53</f>
        <v>122.05495463</v>
      </c>
      <c r="I56" s="48">
        <f>I55+I53</f>
        <v>92.687835520000007</v>
      </c>
      <c r="J56" s="48">
        <f t="shared" ref="J56:N56" si="31">J55+J53</f>
        <v>92.062286459999996</v>
      </c>
      <c r="K56" s="48">
        <f t="shared" si="31"/>
        <v>132.62149711000001</v>
      </c>
      <c r="L56" s="48">
        <f t="shared" si="31"/>
        <v>116.72111311</v>
      </c>
      <c r="M56" s="48">
        <f t="shared" si="31"/>
        <v>90.962395839999999</v>
      </c>
      <c r="N56" s="48">
        <f t="shared" si="31"/>
        <v>89.584833339999989</v>
      </c>
      <c r="O56" s="48">
        <f>O55+O53</f>
        <v>83.97338542</v>
      </c>
      <c r="P56" s="48">
        <f>P55+P53</f>
        <v>90.380871490000004</v>
      </c>
      <c r="Q56" s="48">
        <f>Q55+Q53</f>
        <v>85.230371560000009</v>
      </c>
      <c r="R56" s="49">
        <f>R55+R53</f>
        <v>92.957124999999991</v>
      </c>
      <c r="S56" s="111"/>
      <c r="T56" s="100" t="str">
        <f>'50% Exceedance Baseline'!T56</f>
        <v>Flow gage data plus cumulative inputs adjusted for streambed loss or gain</v>
      </c>
    </row>
    <row r="57" spans="2:21" s="4" customFormat="1" x14ac:dyDescent="0.25">
      <c r="B57" s="10" t="s">
        <v>8</v>
      </c>
      <c r="C57" s="8">
        <f>$C$16</f>
        <v>150</v>
      </c>
      <c r="D57" s="8">
        <f>$D$16</f>
        <v>150</v>
      </c>
      <c r="E57" s="8">
        <f>$E$16</f>
        <v>150</v>
      </c>
      <c r="F57" s="8">
        <f>$F$16</f>
        <v>150</v>
      </c>
      <c r="G57" s="8">
        <f>$G$16</f>
        <v>150</v>
      </c>
      <c r="H57" s="8">
        <f>$H$16</f>
        <v>100</v>
      </c>
      <c r="I57" s="8">
        <f>$I$16</f>
        <v>65</v>
      </c>
      <c r="J57" s="8">
        <f>$J$16</f>
        <v>65</v>
      </c>
      <c r="K57" s="8">
        <f>$K$16</f>
        <v>65</v>
      </c>
      <c r="L57" s="8">
        <f>$L$16</f>
        <v>65</v>
      </c>
      <c r="M57" s="8">
        <f>$M$16</f>
        <v>65</v>
      </c>
      <c r="N57" s="8">
        <f>$N$16</f>
        <v>65</v>
      </c>
      <c r="O57" s="8">
        <f>$O$16</f>
        <v>65</v>
      </c>
      <c r="P57" s="8">
        <f>$P$16</f>
        <v>65</v>
      </c>
      <c r="Q57" s="8">
        <f>$Q$16</f>
        <v>65</v>
      </c>
      <c r="R57" s="9">
        <f>$R$16</f>
        <v>65</v>
      </c>
      <c r="S57" s="112"/>
      <c r="T57" s="100" t="str">
        <f>'50% Exceedance Baseline'!T57</f>
        <v>Target flows</v>
      </c>
      <c r="U57" s="156"/>
    </row>
    <row r="58" spans="2:21" s="30" customFormat="1" ht="15.75" thickBot="1" x14ac:dyDescent="0.3">
      <c r="B58" s="37" t="s">
        <v>10</v>
      </c>
      <c r="C58" s="38">
        <f>IF(C56&gt;C57,0,(C57-C56)*-1)</f>
        <v>0</v>
      </c>
      <c r="D58" s="38">
        <f t="shared" ref="D58:N58" si="32">IF(D56&gt;D57,0,(D57-D56)*-1)</f>
        <v>0</v>
      </c>
      <c r="E58" s="38">
        <f t="shared" si="32"/>
        <v>0</v>
      </c>
      <c r="F58" s="38">
        <f>IF(F56&gt;F57,0,(F57-F56)*-1)</f>
        <v>0</v>
      </c>
      <c r="G58" s="38">
        <f>IF(G56&gt;G57,0,(G57-G56)*-1)</f>
        <v>0</v>
      </c>
      <c r="H58" s="38">
        <f t="shared" si="32"/>
        <v>0</v>
      </c>
      <c r="I58" s="38">
        <f t="shared" si="32"/>
        <v>0</v>
      </c>
      <c r="J58" s="38">
        <f t="shared" si="32"/>
        <v>0</v>
      </c>
      <c r="K58" s="38">
        <f t="shared" si="32"/>
        <v>0</v>
      </c>
      <c r="L58" s="38">
        <f t="shared" si="32"/>
        <v>0</v>
      </c>
      <c r="M58" s="38">
        <f t="shared" si="32"/>
        <v>0</v>
      </c>
      <c r="N58" s="38">
        <f t="shared" si="32"/>
        <v>0</v>
      </c>
      <c r="O58" s="38">
        <f>IF(O56&gt;O57,0,(O57-O56)*-1)</f>
        <v>0</v>
      </c>
      <c r="P58" s="38">
        <f>IF(P56&gt;P57,0,(P57-P56)*-1)</f>
        <v>0</v>
      </c>
      <c r="Q58" s="38">
        <f>IF(Q56&gt;Q57,0,(Q57-Q56)*-1)</f>
        <v>0</v>
      </c>
      <c r="R58" s="39">
        <f>IF(R56&gt;R57,0,(R57-R56)*-1)</f>
        <v>0</v>
      </c>
      <c r="S58" s="105"/>
      <c r="T58" s="100" t="str">
        <f>'50% Exceedance Baseline'!T58</f>
        <v>Deficit between target flows and flow gage data plus total adjusted inputs</v>
      </c>
      <c r="U58" s="29"/>
    </row>
    <row r="59" spans="2:21" s="30" customFormat="1" ht="14.45" x14ac:dyDescent="0.3">
      <c r="B59" s="40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105"/>
      <c r="T59" s="100"/>
      <c r="U59" s="29"/>
    </row>
    <row r="60" spans="2:21" s="15" customFormat="1" thickBot="1" x14ac:dyDescent="0.35">
      <c r="B60" s="60" t="s">
        <v>63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8"/>
      <c r="T60" s="100"/>
      <c r="U60" s="7"/>
    </row>
    <row r="61" spans="2:21" thickBot="1" x14ac:dyDescent="0.35">
      <c r="B61" s="78" t="s">
        <v>5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121">
        <v>0</v>
      </c>
      <c r="R61" s="46">
        <v>0</v>
      </c>
      <c r="S61" s="105"/>
      <c r="T61" s="100" t="str">
        <f>'50% Exceedance Baseline'!T61</f>
        <v>Flow input between Mgt. Pt. 2 and Mgt. Pt. 3</v>
      </c>
    </row>
    <row r="62" spans="2:21" ht="14.45" x14ac:dyDescent="0.3">
      <c r="B62" s="79" t="s">
        <v>7</v>
      </c>
      <c r="C62" s="16">
        <f>IF(C76&gt;C75,((C76-C75)*-1),((C75-C76)))</f>
        <v>145.26822920000001</v>
      </c>
      <c r="D62" s="16">
        <f t="shared" ref="D62:E62" si="33">IF(D76&gt;D75,((D76-D75)*-1),((D75-D76)))</f>
        <v>109.96515360000001</v>
      </c>
      <c r="E62" s="16">
        <f t="shared" si="33"/>
        <v>94.1171875</v>
      </c>
      <c r="F62" s="16">
        <f>IF(F76&gt;F75,((F76-F75)*-1),((F75-F76)))</f>
        <v>47.782325399999991</v>
      </c>
      <c r="G62" s="16">
        <f>IF(G76&gt;G75,((G76-G75)*-1),((G75-G76)))</f>
        <v>28.729580870000007</v>
      </c>
      <c r="H62" s="16">
        <f t="shared" ref="H62:R62" si="34">IF(H76&gt;H75,((H76-H75)*-1),((H75-H76)))</f>
        <v>9.2856955899999889</v>
      </c>
      <c r="I62" s="16">
        <f t="shared" si="34"/>
        <v>0.39788814000000627</v>
      </c>
      <c r="J62" s="16">
        <f t="shared" si="34"/>
        <v>0.5553354200000058</v>
      </c>
      <c r="K62" s="16">
        <f t="shared" si="34"/>
        <v>27.233495840000003</v>
      </c>
      <c r="L62" s="16">
        <f t="shared" si="34"/>
        <v>14.135344910000001</v>
      </c>
      <c r="M62" s="16">
        <f t="shared" si="34"/>
        <v>0.40563072999999861</v>
      </c>
      <c r="N62" s="16">
        <f t="shared" si="34"/>
        <v>0.30071623000000614</v>
      </c>
      <c r="O62" s="16">
        <f t="shared" si="34"/>
        <v>0.20647560999999826</v>
      </c>
      <c r="P62" s="16">
        <f t="shared" si="34"/>
        <v>7.8063807099999991</v>
      </c>
      <c r="Q62" s="16">
        <f t="shared" si="34"/>
        <v>27.554258420000011</v>
      </c>
      <c r="R62" s="14">
        <f t="shared" si="34"/>
        <v>39.204537610000017</v>
      </c>
      <c r="S62" s="18"/>
      <c r="T62" s="100" t="str">
        <f>'50% Exceedance Baseline'!T62</f>
        <v>Flow target surplus or deficit after input</v>
      </c>
    </row>
    <row r="63" spans="2:21" thickBot="1" x14ac:dyDescent="0.35">
      <c r="B63" s="80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7"/>
      <c r="S63" s="18"/>
    </row>
    <row r="64" spans="2:21" s="12" customFormat="1" thickBot="1" x14ac:dyDescent="0.35">
      <c r="B64" s="73" t="s">
        <v>6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121">
        <v>0</v>
      </c>
      <c r="R64" s="46">
        <v>0</v>
      </c>
      <c r="S64" s="105"/>
      <c r="T64" s="100" t="str">
        <f>'50% Exceedance Baseline'!T64</f>
        <v>Flow input between Mgt. Pt. 2 and Mgt. Pt. 3</v>
      </c>
      <c r="U64" s="13"/>
    </row>
    <row r="65" spans="2:21" s="4" customFormat="1" ht="14.45" x14ac:dyDescent="0.3">
      <c r="B65" s="79" t="s">
        <v>7</v>
      </c>
      <c r="C65" s="16">
        <f>IF(C76&gt;C75,((C76-C75)*-1),((C75-C76)))</f>
        <v>145.26822920000001</v>
      </c>
      <c r="D65" s="16">
        <f t="shared" ref="D65:R65" si="35">IF(D76&gt;D75,((D76-D75)*-1),((D75-D76)))</f>
        <v>109.96515360000001</v>
      </c>
      <c r="E65" s="16">
        <f t="shared" si="35"/>
        <v>94.1171875</v>
      </c>
      <c r="F65" s="16">
        <f t="shared" si="35"/>
        <v>47.782325399999991</v>
      </c>
      <c r="G65" s="16">
        <f t="shared" si="35"/>
        <v>28.729580870000007</v>
      </c>
      <c r="H65" s="16">
        <f t="shared" si="35"/>
        <v>9.2856955899999889</v>
      </c>
      <c r="I65" s="16">
        <f t="shared" si="35"/>
        <v>0.39788814000000627</v>
      </c>
      <c r="J65" s="16">
        <f t="shared" si="35"/>
        <v>0.5553354200000058</v>
      </c>
      <c r="K65" s="16">
        <f t="shared" si="35"/>
        <v>27.233495840000003</v>
      </c>
      <c r="L65" s="16">
        <f t="shared" si="35"/>
        <v>14.135344910000001</v>
      </c>
      <c r="M65" s="16">
        <f t="shared" si="35"/>
        <v>0.40563072999999861</v>
      </c>
      <c r="N65" s="16">
        <f t="shared" si="35"/>
        <v>0.30071623000000614</v>
      </c>
      <c r="O65" s="16">
        <f t="shared" si="35"/>
        <v>0.20647560999999826</v>
      </c>
      <c r="P65" s="16">
        <f t="shared" si="35"/>
        <v>7.8063807099999991</v>
      </c>
      <c r="Q65" s="16">
        <f t="shared" si="35"/>
        <v>27.554258420000011</v>
      </c>
      <c r="R65" s="14">
        <f t="shared" si="35"/>
        <v>39.204537610000017</v>
      </c>
      <c r="S65" s="18"/>
      <c r="T65" s="100" t="str">
        <f>'50% Exceedance Baseline'!T65</f>
        <v>Flow target surplus or deficit after input</v>
      </c>
      <c r="U65" s="156"/>
    </row>
    <row r="66" spans="2:21" s="4" customFormat="1" thickBot="1" x14ac:dyDescent="0.35">
      <c r="B66" s="80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7"/>
      <c r="S66" s="18"/>
      <c r="T66" s="100"/>
      <c r="U66" s="156"/>
    </row>
    <row r="67" spans="2:21" thickBot="1" x14ac:dyDescent="0.35">
      <c r="B67" s="73" t="s">
        <v>60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121">
        <v>0</v>
      </c>
      <c r="R67" s="46">
        <v>0</v>
      </c>
      <c r="S67" s="105"/>
      <c r="T67" s="100" t="str">
        <f>'50% Exceedance Baseline'!T67</f>
        <v>Flow input between Mgt. Pt. 2 and Mgt. Pt. 3</v>
      </c>
    </row>
    <row r="68" spans="2:21" s="4" customFormat="1" ht="14.45" x14ac:dyDescent="0.3">
      <c r="B68" s="79" t="s">
        <v>7</v>
      </c>
      <c r="C68" s="16">
        <f>IF(C76&gt;C75,((C76-C75)*-1),((C75-C76)))</f>
        <v>145.26822920000001</v>
      </c>
      <c r="D68" s="16">
        <f t="shared" ref="D68:R68" si="36">IF(D76&gt;D75,((D76-D75)*-1),((D75-D76)))</f>
        <v>109.96515360000001</v>
      </c>
      <c r="E68" s="16">
        <f t="shared" si="36"/>
        <v>94.1171875</v>
      </c>
      <c r="F68" s="16">
        <f t="shared" si="36"/>
        <v>47.782325399999991</v>
      </c>
      <c r="G68" s="16">
        <f t="shared" si="36"/>
        <v>28.729580870000007</v>
      </c>
      <c r="H68" s="16">
        <f t="shared" si="36"/>
        <v>9.2856955899999889</v>
      </c>
      <c r="I68" s="16">
        <f t="shared" si="36"/>
        <v>0.39788814000000627</v>
      </c>
      <c r="J68" s="16">
        <f t="shared" si="36"/>
        <v>0.5553354200000058</v>
      </c>
      <c r="K68" s="16">
        <f t="shared" si="36"/>
        <v>27.233495840000003</v>
      </c>
      <c r="L68" s="16">
        <f t="shared" si="36"/>
        <v>14.135344910000001</v>
      </c>
      <c r="M68" s="16">
        <f t="shared" si="36"/>
        <v>0.40563072999999861</v>
      </c>
      <c r="N68" s="16">
        <f t="shared" si="36"/>
        <v>0.30071623000000614</v>
      </c>
      <c r="O68" s="16">
        <f t="shared" si="36"/>
        <v>0.20647560999999826</v>
      </c>
      <c r="P68" s="16">
        <f t="shared" si="36"/>
        <v>7.8063807099999991</v>
      </c>
      <c r="Q68" s="16">
        <f t="shared" si="36"/>
        <v>27.554258420000011</v>
      </c>
      <c r="R68" s="14">
        <f t="shared" si="36"/>
        <v>39.204537610000017</v>
      </c>
      <c r="S68" s="18"/>
      <c r="T68" s="100" t="str">
        <f>'50% Exceedance Baseline'!T68</f>
        <v>Flow target surplus or deficit after input</v>
      </c>
      <c r="U68" s="156"/>
    </row>
    <row r="69" spans="2:21" ht="14.45" x14ac:dyDescent="0.3">
      <c r="B69" s="81" t="s">
        <v>22</v>
      </c>
      <c r="C69" s="18">
        <f t="shared" ref="C69:F69" si="37">SUM(C61+C64+C67)</f>
        <v>0</v>
      </c>
      <c r="D69" s="18">
        <f t="shared" si="37"/>
        <v>0</v>
      </c>
      <c r="E69" s="18">
        <f t="shared" si="37"/>
        <v>0</v>
      </c>
      <c r="F69" s="18">
        <f t="shared" si="37"/>
        <v>0</v>
      </c>
      <c r="G69" s="18">
        <f>SUM(G61+G64+G67)</f>
        <v>0</v>
      </c>
      <c r="H69" s="18">
        <f t="shared" ref="H69:N69" si="38">SUM(H61+H64+H67)</f>
        <v>0</v>
      </c>
      <c r="I69" s="18">
        <f t="shared" si="38"/>
        <v>0</v>
      </c>
      <c r="J69" s="18">
        <f t="shared" si="38"/>
        <v>0</v>
      </c>
      <c r="K69" s="18">
        <f t="shared" si="38"/>
        <v>0</v>
      </c>
      <c r="L69" s="18">
        <f t="shared" si="38"/>
        <v>0</v>
      </c>
      <c r="M69" s="18">
        <f t="shared" si="38"/>
        <v>0</v>
      </c>
      <c r="N69" s="18">
        <f t="shared" si="38"/>
        <v>0</v>
      </c>
      <c r="O69" s="18">
        <f>SUM(O61+O64+O67)</f>
        <v>0</v>
      </c>
      <c r="P69" s="18">
        <f>SUM(P61+P64+P67)</f>
        <v>0</v>
      </c>
      <c r="Q69" s="18">
        <f>SUM(Q61+Q64+Q67)</f>
        <v>0</v>
      </c>
      <c r="R69" s="17">
        <f>SUM(R61+R64+R67)</f>
        <v>0</v>
      </c>
      <c r="S69" s="18"/>
      <c r="T69" s="100" t="str">
        <f>'50% Exceedance Baseline'!T69</f>
        <v>Subtotal of all inputs in Nursery Bridge to Pepper Bridge reach</v>
      </c>
    </row>
    <row r="70" spans="2:21" s="32" customFormat="1" ht="15.75" thickBot="1" x14ac:dyDescent="0.3">
      <c r="B70" s="80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7"/>
      <c r="S70" s="18"/>
      <c r="T70" s="100"/>
    </row>
    <row r="71" spans="2:21" s="64" customFormat="1" ht="15.75" thickBot="1" x14ac:dyDescent="0.3">
      <c r="B71" s="70" t="s">
        <v>69</v>
      </c>
      <c r="C71" s="69">
        <f>'50% Exceedance Baseline'!C71</f>
        <v>-0.16</v>
      </c>
      <c r="D71" s="69">
        <f>'50% Exceedance Baseline'!D71</f>
        <v>-0.16</v>
      </c>
      <c r="E71" s="69">
        <f>'50% Exceedance Baseline'!E71</f>
        <v>-0.16</v>
      </c>
      <c r="F71" s="69">
        <f>'50% Exceedance Baseline'!F71</f>
        <v>-0.16</v>
      </c>
      <c r="G71" s="69">
        <f>'50% Exceedance Baseline'!G71</f>
        <v>-0.16</v>
      </c>
      <c r="H71" s="69">
        <f>'50% Exceedance Baseline'!H71</f>
        <v>-0.16</v>
      </c>
      <c r="I71" s="69">
        <f>'50% Exceedance Baseline'!I71</f>
        <v>-0.24</v>
      </c>
      <c r="J71" s="69">
        <f>'50% Exceedance Baseline'!J71</f>
        <v>-0.24</v>
      </c>
      <c r="K71" s="69">
        <f>'50% Exceedance Baseline'!K71</f>
        <v>-0.26500000000000001</v>
      </c>
      <c r="L71" s="69">
        <f>'50% Exceedance Baseline'!L71</f>
        <v>-0.26500000000000001</v>
      </c>
      <c r="M71" s="69">
        <f>'50% Exceedance Baseline'!M71</f>
        <v>-0.215</v>
      </c>
      <c r="N71" s="69">
        <f>'50% Exceedance Baseline'!N71</f>
        <v>-0.215</v>
      </c>
      <c r="O71" s="69">
        <f>'50% Exceedance Baseline'!O71</f>
        <v>-0.17</v>
      </c>
      <c r="P71" s="69">
        <f>'50% Exceedance Baseline'!P71</f>
        <v>-0.17</v>
      </c>
      <c r="Q71" s="82">
        <f>'50% Exceedance Baseline'!Q71</f>
        <v>0.20899999999999999</v>
      </c>
      <c r="R71" s="82">
        <f>'50% Exceedance Baseline'!R71</f>
        <v>0.20899999999999999</v>
      </c>
      <c r="S71" s="107"/>
      <c r="T71" s="100" t="str">
        <f>'50% Exceedance Baseline'!T71</f>
        <v>Percentage total inputs lost or gained due to streambed hydrology (2002-2015 WWBWC seepage data); estimated current rates halved to reflect assumed seepage reductions from future projects</v>
      </c>
    </row>
    <row r="72" spans="2:21" s="28" customFormat="1" x14ac:dyDescent="0.25">
      <c r="B72" s="84" t="s">
        <v>20</v>
      </c>
      <c r="C72" s="57">
        <f>SUM(C69+C53)*(1+C71)</f>
        <v>0</v>
      </c>
      <c r="D72" s="57">
        <f t="shared" ref="D72:N72" si="39">SUM(D69+D53)*(1+D71)</f>
        <v>0</v>
      </c>
      <c r="E72" s="57">
        <f t="shared" si="39"/>
        <v>0</v>
      </c>
      <c r="F72" s="57">
        <f t="shared" si="39"/>
        <v>32.373599999999996</v>
      </c>
      <c r="G72" s="57">
        <f t="shared" si="39"/>
        <v>109.75439999999999</v>
      </c>
      <c r="H72" s="57">
        <f t="shared" si="39"/>
        <v>71.853599999999986</v>
      </c>
      <c r="I72" s="57">
        <f t="shared" si="39"/>
        <v>48.617960000000004</v>
      </c>
      <c r="J72" s="57">
        <f t="shared" si="39"/>
        <v>47.933199999999999</v>
      </c>
      <c r="K72" s="57">
        <f t="shared" si="39"/>
        <v>74.242350000000002</v>
      </c>
      <c r="L72" s="57">
        <f t="shared" si="39"/>
        <v>63.540750000000003</v>
      </c>
      <c r="M72" s="57">
        <f t="shared" si="39"/>
        <v>45.389485000000001</v>
      </c>
      <c r="N72" s="57">
        <f t="shared" si="39"/>
        <v>46.066940000000002</v>
      </c>
      <c r="O72" s="57">
        <f>SUM(O69+O53)*(1+O71)</f>
        <v>41.748999999999995</v>
      </c>
      <c r="P72" s="122">
        <f>SUM(P69+P53)*(1+P71)</f>
        <v>43.418959999999998</v>
      </c>
      <c r="Q72" s="57">
        <f>SUM(Q69+Q53)*(1+Q71)</f>
        <v>43.231422000000009</v>
      </c>
      <c r="R72" s="68">
        <f>SUM(R69+R53)*(1+R71)</f>
        <v>30.717063000000003</v>
      </c>
      <c r="S72" s="110"/>
      <c r="T72" s="100" t="str">
        <f>'50% Exceedance Baseline'!T72</f>
        <v>Total of all upstream input flow adjusted for streambed loss or gain</v>
      </c>
    </row>
    <row r="73" spans="2:21" s="21" customFormat="1" ht="15.75" thickBot="1" x14ac:dyDescent="0.3">
      <c r="B73" s="7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3"/>
      <c r="S73" s="110"/>
      <c r="T73" s="100"/>
      <c r="U73" s="20"/>
    </row>
    <row r="74" spans="2:21" s="12" customFormat="1" ht="15.75" thickBot="1" x14ac:dyDescent="0.3">
      <c r="B74" s="87" t="s">
        <v>54</v>
      </c>
      <c r="C74" s="123">
        <f>'50% Exceedance Baseline'!C74</f>
        <v>295.26822920000001</v>
      </c>
      <c r="D74" s="123">
        <f>'50% Exceedance Baseline'!D74</f>
        <v>259.96515360000001</v>
      </c>
      <c r="E74" s="123">
        <f>'50% Exceedance Baseline'!E74</f>
        <v>244.1171875</v>
      </c>
      <c r="F74" s="123">
        <f>'50% Exceedance Baseline'!F74</f>
        <v>165.40872540000001</v>
      </c>
      <c r="G74" s="123">
        <f>'50% Exceedance Baseline'!G74</f>
        <v>68.975180870000003</v>
      </c>
      <c r="H74" s="123">
        <f>'50% Exceedance Baseline'!H74</f>
        <v>37.432095590000003</v>
      </c>
      <c r="I74" s="123">
        <f>'50% Exceedance Baseline'!I74</f>
        <v>16.779928139999999</v>
      </c>
      <c r="J74" s="123">
        <f>'50% Exceedance Baseline'!J74</f>
        <v>17.622135419999999</v>
      </c>
      <c r="K74" s="123">
        <f>'50% Exceedance Baseline'!K74</f>
        <v>17.991145840000001</v>
      </c>
      <c r="L74" s="123">
        <f>'50% Exceedance Baseline'!L74</f>
        <v>15.59459491</v>
      </c>
      <c r="M74" s="123">
        <f>'50% Exceedance Baseline'!M74</f>
        <v>20.016145730000002</v>
      </c>
      <c r="N74" s="123">
        <f>'50% Exceedance Baseline'!N74</f>
        <v>19.23377623</v>
      </c>
      <c r="O74" s="123">
        <f>'50% Exceedance Baseline'!O74</f>
        <v>23.457475609999999</v>
      </c>
      <c r="P74" s="123">
        <f>'50% Exceedance Baseline'!P74</f>
        <v>29.387420710000001</v>
      </c>
      <c r="Q74" s="123">
        <f>'50% Exceedance Baseline'!Q74</f>
        <v>49.322836420000002</v>
      </c>
      <c r="R74" s="123">
        <f>'50% Exceedance Baseline'!R74</f>
        <v>73.487474610000007</v>
      </c>
      <c r="S74" s="108"/>
      <c r="T74" s="100" t="str">
        <f>'50% Exceedance Baseline'!T74</f>
        <v>Median flow data at S-108 gage (2004-2016)</v>
      </c>
    </row>
    <row r="75" spans="2:21" s="12" customFormat="1" x14ac:dyDescent="0.25">
      <c r="B75" s="88" t="s">
        <v>38</v>
      </c>
      <c r="C75" s="89">
        <f>C74+C72</f>
        <v>295.26822920000001</v>
      </c>
      <c r="D75" s="89">
        <f t="shared" ref="D75:E75" si="40">D74+D72</f>
        <v>259.96515360000001</v>
      </c>
      <c r="E75" s="89">
        <f t="shared" si="40"/>
        <v>244.1171875</v>
      </c>
      <c r="F75" s="89">
        <f>F74+F72</f>
        <v>197.78232539999999</v>
      </c>
      <c r="G75" s="89">
        <f t="shared" ref="G75:H75" si="41">G74+G72</f>
        <v>178.72958087000001</v>
      </c>
      <c r="H75" s="89">
        <f t="shared" si="41"/>
        <v>109.28569558999999</v>
      </c>
      <c r="I75" s="89">
        <f>I74+I72</f>
        <v>65.397888140000006</v>
      </c>
      <c r="J75" s="89">
        <f t="shared" ref="J75:N75" si="42">J74+J72</f>
        <v>65.555335420000006</v>
      </c>
      <c r="K75" s="89">
        <f t="shared" si="42"/>
        <v>92.233495840000003</v>
      </c>
      <c r="L75" s="89">
        <f t="shared" si="42"/>
        <v>79.135344910000001</v>
      </c>
      <c r="M75" s="89">
        <f t="shared" si="42"/>
        <v>65.405630729999999</v>
      </c>
      <c r="N75" s="89">
        <f t="shared" si="42"/>
        <v>65.300716230000006</v>
      </c>
      <c r="O75" s="89">
        <f>O74+O72</f>
        <v>65.206475609999998</v>
      </c>
      <c r="P75" s="89">
        <f>P74+P72</f>
        <v>72.806380709999999</v>
      </c>
      <c r="Q75" s="89">
        <f>Q74+Q72</f>
        <v>92.554258420000011</v>
      </c>
      <c r="R75" s="90">
        <f>R74+R72</f>
        <v>104.20453761000002</v>
      </c>
      <c r="S75" s="113"/>
      <c r="T75" s="100" t="str">
        <f>'50% Exceedance Baseline'!T75</f>
        <v>Flow gage data plus cumulative inputs adjusted for streambed loss or gain</v>
      </c>
    </row>
    <row r="76" spans="2:21" s="4" customFormat="1" x14ac:dyDescent="0.25">
      <c r="B76" s="10" t="s">
        <v>8</v>
      </c>
      <c r="C76" s="8">
        <f>$C$16</f>
        <v>150</v>
      </c>
      <c r="D76" s="8">
        <f>$D$16</f>
        <v>150</v>
      </c>
      <c r="E76" s="8">
        <f>$E$16</f>
        <v>150</v>
      </c>
      <c r="F76" s="8">
        <f>$F$16</f>
        <v>150</v>
      </c>
      <c r="G76" s="8">
        <f>$G$16</f>
        <v>150</v>
      </c>
      <c r="H76" s="8">
        <f>$H$16</f>
        <v>100</v>
      </c>
      <c r="I76" s="8">
        <f>$I$16</f>
        <v>65</v>
      </c>
      <c r="J76" s="8">
        <f>$J$16</f>
        <v>65</v>
      </c>
      <c r="K76" s="8">
        <f>$K$16</f>
        <v>65</v>
      </c>
      <c r="L76" s="8">
        <f>$L$16</f>
        <v>65</v>
      </c>
      <c r="M76" s="8">
        <f>$M$16</f>
        <v>65</v>
      </c>
      <c r="N76" s="8">
        <f>$N$16</f>
        <v>65</v>
      </c>
      <c r="O76" s="8">
        <f>$O$16</f>
        <v>65</v>
      </c>
      <c r="P76" s="8">
        <f>$P$16</f>
        <v>65</v>
      </c>
      <c r="Q76" s="8">
        <f>$Q$16</f>
        <v>65</v>
      </c>
      <c r="R76" s="9">
        <f>$R$16</f>
        <v>65</v>
      </c>
      <c r="S76" s="112"/>
      <c r="T76" s="100" t="str">
        <f>'50% Exceedance Baseline'!T76</f>
        <v>Target flows</v>
      </c>
    </row>
    <row r="77" spans="2:21" ht="15.75" thickBot="1" x14ac:dyDescent="0.3">
      <c r="B77" s="37" t="s">
        <v>12</v>
      </c>
      <c r="C77" s="38">
        <f>IF(C75&gt;C76,0,(C76-C75)*-1)</f>
        <v>0</v>
      </c>
      <c r="D77" s="38">
        <f t="shared" ref="D77:E77" si="43">IF(D75&gt;D76,0,(D76-D75)*-1)</f>
        <v>0</v>
      </c>
      <c r="E77" s="38">
        <f t="shared" si="43"/>
        <v>0</v>
      </c>
      <c r="F77" s="38">
        <f>IF(F75&gt;F76,0,(F76-F75)*-1)</f>
        <v>0</v>
      </c>
      <c r="G77" s="38">
        <f t="shared" ref="G77:N77" si="44">IF(G75&gt;G76,0,(G76-G75)*-1)</f>
        <v>0</v>
      </c>
      <c r="H77" s="38">
        <f t="shared" si="44"/>
        <v>0</v>
      </c>
      <c r="I77" s="38">
        <f t="shared" si="44"/>
        <v>0</v>
      </c>
      <c r="J77" s="38">
        <f t="shared" si="44"/>
        <v>0</v>
      </c>
      <c r="K77" s="38">
        <f t="shared" si="44"/>
        <v>0</v>
      </c>
      <c r="L77" s="38">
        <f t="shared" si="44"/>
        <v>0</v>
      </c>
      <c r="M77" s="38">
        <f t="shared" si="44"/>
        <v>0</v>
      </c>
      <c r="N77" s="38">
        <f t="shared" si="44"/>
        <v>0</v>
      </c>
      <c r="O77" s="38">
        <f>IF(O75&gt;O76,0,(O76-O75)*-1)</f>
        <v>0</v>
      </c>
      <c r="P77" s="38">
        <f>IF(P75&gt;P76,0,(P76-P75)*-1)</f>
        <v>0</v>
      </c>
      <c r="Q77" s="38">
        <f>IF(Q75&gt;Q76,0,(Q76-Q75)*-1)</f>
        <v>0</v>
      </c>
      <c r="R77" s="39">
        <f>IF(R75&gt;R76,0,(R76-R75)*-1)</f>
        <v>0</v>
      </c>
      <c r="S77" s="105"/>
      <c r="T77" s="100" t="str">
        <f>'50% Exceedance Baseline'!T77</f>
        <v>Deficit between target flows and flow gage data plus total adjusted inputs</v>
      </c>
    </row>
    <row r="78" spans="2:21" x14ac:dyDescent="0.25">
      <c r="B78" s="9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110"/>
    </row>
    <row r="80" spans="2:21" x14ac:dyDescent="0.25">
      <c r="B80" s="35" t="s">
        <v>3</v>
      </c>
      <c r="C80" s="34">
        <f>'50% Exceedance Baseline'!C80</f>
        <v>30</v>
      </c>
      <c r="D80" s="34">
        <f>'50% Exceedance Baseline'!D80</f>
        <v>30</v>
      </c>
      <c r="E80" s="34">
        <f>'50% Exceedance Baseline'!E80</f>
        <v>30</v>
      </c>
      <c r="F80" s="34">
        <f>'50% Exceedance Baseline'!F80</f>
        <v>30</v>
      </c>
      <c r="G80" s="34">
        <f>'50% Exceedance Baseline'!G80</f>
        <v>10</v>
      </c>
      <c r="H80" s="34">
        <f>'50% Exceedance Baseline'!H80</f>
        <v>10</v>
      </c>
      <c r="I80" s="34">
        <f>'50% Exceedance Baseline'!I80</f>
        <v>5</v>
      </c>
      <c r="J80" s="34">
        <f>'50% Exceedance Baseline'!J80</f>
        <v>5</v>
      </c>
      <c r="K80" s="34">
        <f>'50% Exceedance Baseline'!K80</f>
        <v>3</v>
      </c>
      <c r="L80" s="34">
        <f>'50% Exceedance Baseline'!L80</f>
        <v>3</v>
      </c>
      <c r="M80" s="34">
        <f>'50% Exceedance Baseline'!M80</f>
        <v>8</v>
      </c>
      <c r="N80" s="34">
        <f>'50% Exceedance Baseline'!N80</f>
        <v>8</v>
      </c>
      <c r="O80" s="34">
        <f>'50% Exceedance Baseline'!O80</f>
        <v>10</v>
      </c>
      <c r="P80" s="34">
        <f>'50% Exceedance Baseline'!P80</f>
        <v>10</v>
      </c>
      <c r="Q80" s="34">
        <f>'50% Exceedance Baseline'!Q80</f>
        <v>20</v>
      </c>
      <c r="R80" s="34">
        <f>'50% Exceedance Baseline'!R80</f>
        <v>20</v>
      </c>
      <c r="S80" s="63"/>
      <c r="T80" s="100" t="str">
        <f>'50% Exceedance Baseline'!T80</f>
        <v>Estimates for 2014-2015</v>
      </c>
    </row>
    <row r="81" spans="2:21" s="12" customFormat="1" x14ac:dyDescent="0.25">
      <c r="B81" s="62" t="s">
        <v>110</v>
      </c>
      <c r="C81" s="19">
        <v>10</v>
      </c>
      <c r="D81" s="19">
        <v>10</v>
      </c>
      <c r="E81" s="19">
        <v>10</v>
      </c>
      <c r="F81" s="19">
        <v>10</v>
      </c>
      <c r="G81" s="19">
        <v>5</v>
      </c>
      <c r="H81" s="19">
        <v>5</v>
      </c>
      <c r="I81" s="19">
        <v>3</v>
      </c>
      <c r="J81" s="19">
        <v>3</v>
      </c>
      <c r="K81" s="19">
        <v>3</v>
      </c>
      <c r="L81" s="19">
        <v>3</v>
      </c>
      <c r="M81" s="19">
        <v>3</v>
      </c>
      <c r="N81" s="19">
        <v>3</v>
      </c>
      <c r="O81" s="19">
        <v>3</v>
      </c>
      <c r="P81" s="19">
        <v>3</v>
      </c>
      <c r="Q81" s="19">
        <v>10</v>
      </c>
      <c r="R81" s="19">
        <v>10</v>
      </c>
      <c r="S81" s="19"/>
      <c r="T81" s="100"/>
    </row>
    <row r="82" spans="2:21" s="4" customFormat="1" x14ac:dyDescent="0.25">
      <c r="B82" s="86" t="s">
        <v>11</v>
      </c>
      <c r="C82" s="92">
        <f>'50% Exceedance Baseline'!C82</f>
        <v>90</v>
      </c>
      <c r="D82" s="92">
        <f>'50% Exceedance Baseline'!D82</f>
        <v>75</v>
      </c>
      <c r="E82" s="92">
        <f>'50% Exceedance Baseline'!E82</f>
        <v>50</v>
      </c>
      <c r="F82" s="92">
        <f>'50% Exceedance Baseline'!F82</f>
        <v>50</v>
      </c>
      <c r="G82" s="92">
        <f>'50% Exceedance Baseline'!G82</f>
        <v>35</v>
      </c>
      <c r="H82" s="92">
        <f>'50% Exceedance Baseline'!H82</f>
        <v>30</v>
      </c>
      <c r="I82" s="92">
        <f>'50% Exceedance Baseline'!I82</f>
        <v>0</v>
      </c>
      <c r="J82" s="92">
        <f>'50% Exceedance Baseline'!J82</f>
        <v>0</v>
      </c>
      <c r="K82" s="92">
        <f>'50% Exceedance Baseline'!K82</f>
        <v>0</v>
      </c>
      <c r="L82" s="92">
        <f>'50% Exceedance Baseline'!L82</f>
        <v>0</v>
      </c>
      <c r="M82" s="92">
        <f>'50% Exceedance Baseline'!M82</f>
        <v>0</v>
      </c>
      <c r="N82" s="92">
        <f>'50% Exceedance Baseline'!N82</f>
        <v>0</v>
      </c>
      <c r="O82" s="92">
        <f>'50% Exceedance Baseline'!O82</f>
        <v>32</v>
      </c>
      <c r="P82" s="92">
        <f>'50% Exceedance Baseline'!P82</f>
        <v>36</v>
      </c>
      <c r="Q82" s="92">
        <f>'50% Exceedance Baseline'!Q82</f>
        <v>58</v>
      </c>
      <c r="R82" s="92">
        <f>'50% Exceedance Baseline'!R82</f>
        <v>58</v>
      </c>
      <c r="S82" s="114"/>
      <c r="T82" s="100"/>
    </row>
    <row r="83" spans="2:21" s="4" customFormat="1" x14ac:dyDescent="0.25">
      <c r="B83" s="86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114"/>
      <c r="T83" s="100"/>
    </row>
    <row r="84" spans="2:21" s="4" customFormat="1" ht="15.75" thickBot="1" x14ac:dyDescent="0.3">
      <c r="B84" s="61" t="s">
        <v>61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114"/>
      <c r="T84" s="100"/>
    </row>
    <row r="85" spans="2:21" ht="15.75" thickBot="1" x14ac:dyDescent="0.3">
      <c r="B85" s="78" t="s">
        <v>5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121">
        <v>0</v>
      </c>
      <c r="R85" s="46">
        <v>0</v>
      </c>
      <c r="S85" s="105"/>
      <c r="T85" s="100" t="str">
        <f>'50% Exceedance Baseline'!T85</f>
        <v>Flow input between Mgt. Pt. 3 and Mgt. Pt. 4</v>
      </c>
    </row>
    <row r="86" spans="2:21" x14ac:dyDescent="0.25">
      <c r="B86" s="79" t="s">
        <v>7</v>
      </c>
      <c r="C86" s="16">
        <f>IF(C100&gt;C99,((C100-C99)*-1),((C99-C100)))</f>
        <v>190.65885420000001</v>
      </c>
      <c r="D86" s="16">
        <f t="shared" ref="D86:E86" si="45">IF(D100&gt;D99,((D100-D99)*-1),((D99-D100)))</f>
        <v>127.40364579999999</v>
      </c>
      <c r="E86" s="16">
        <f t="shared" si="45"/>
        <v>109.20572920000001</v>
      </c>
      <c r="F86" s="16">
        <f>IF(F100&gt;F99,((F100-F99)*-1),((F99-F100)))</f>
        <v>80.912228999999996</v>
      </c>
      <c r="G86" s="16">
        <f>IF(G100&gt;G99,((G100-G99)*-1),((G99-G100)))</f>
        <v>23.391929199999993</v>
      </c>
      <c r="H86" s="16">
        <f t="shared" ref="H86:P86" si="46">IF(H100&gt;H99,((H100-H99)*-1),((H99-H100)))</f>
        <v>4.3514627199999865</v>
      </c>
      <c r="I86" s="16">
        <f t="shared" si="46"/>
        <v>14.697409860000008</v>
      </c>
      <c r="J86" s="16">
        <f t="shared" si="46"/>
        <v>18.200391620000005</v>
      </c>
      <c r="K86" s="16">
        <f t="shared" si="46"/>
        <v>42.135391179999999</v>
      </c>
      <c r="L86" s="16">
        <f t="shared" si="46"/>
        <v>32.370975749999999</v>
      </c>
      <c r="M86" s="16">
        <f t="shared" si="46"/>
        <v>21.306487145000006</v>
      </c>
      <c r="N86" s="16">
        <f t="shared" si="46"/>
        <v>27.989967829999998</v>
      </c>
      <c r="O86" s="16">
        <f t="shared" si="46"/>
        <v>4.2993811699999895</v>
      </c>
      <c r="P86" s="16">
        <f t="shared" si="46"/>
        <v>0.36539808000000562</v>
      </c>
      <c r="Q86" s="16">
        <f>IF(Q100&gt;Q99,((Q100-Q99)*-1),((Q99-Q100)))</f>
        <v>0.34801424400001224</v>
      </c>
      <c r="R86" s="14">
        <f>IF(R100&gt;R99,((R100-R99)*-1),((R99-R100)))</f>
        <v>0.7690249209999962</v>
      </c>
      <c r="S86" s="18"/>
      <c r="T86" s="100" t="str">
        <f>'50% Exceedance Baseline'!T86</f>
        <v>Flow target surplus or deficit after input</v>
      </c>
    </row>
    <row r="87" spans="2:21" ht="15.75" thickBot="1" x14ac:dyDescent="0.3">
      <c r="B87" s="80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7"/>
      <c r="S87" s="18"/>
    </row>
    <row r="88" spans="2:21" s="4" customFormat="1" ht="15.75" thickBot="1" x14ac:dyDescent="0.3">
      <c r="B88" s="73" t="s">
        <v>6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121">
        <v>0</v>
      </c>
      <c r="R88" s="46">
        <v>0</v>
      </c>
      <c r="S88" s="105"/>
      <c r="T88" s="100" t="str">
        <f>'50% Exceedance Baseline'!T88</f>
        <v>Flow input between Mgt. Pt. 3 and Mgt. Pt. 4</v>
      </c>
      <c r="U88" s="156"/>
    </row>
    <row r="89" spans="2:21" x14ac:dyDescent="0.25">
      <c r="B89" s="79" t="s">
        <v>7</v>
      </c>
      <c r="C89" s="16">
        <f>IF(C100&gt;C99,((C100-C99)*-1),((C99-C100)))</f>
        <v>190.65885420000001</v>
      </c>
      <c r="D89" s="16">
        <f t="shared" ref="D89:R89" si="47">IF(D100&gt;D99,((D100-D99)*-1),((D99-D100)))</f>
        <v>127.40364579999999</v>
      </c>
      <c r="E89" s="16">
        <f t="shared" si="47"/>
        <v>109.20572920000001</v>
      </c>
      <c r="F89" s="16">
        <f t="shared" si="47"/>
        <v>80.912228999999996</v>
      </c>
      <c r="G89" s="16">
        <f t="shared" si="47"/>
        <v>23.391929199999993</v>
      </c>
      <c r="H89" s="16">
        <f t="shared" si="47"/>
        <v>4.3514627199999865</v>
      </c>
      <c r="I89" s="16">
        <f t="shared" si="47"/>
        <v>14.697409860000008</v>
      </c>
      <c r="J89" s="16">
        <f t="shared" si="47"/>
        <v>18.200391620000005</v>
      </c>
      <c r="K89" s="16">
        <f t="shared" si="47"/>
        <v>42.135391179999999</v>
      </c>
      <c r="L89" s="16">
        <f t="shared" si="47"/>
        <v>32.370975749999999</v>
      </c>
      <c r="M89" s="16">
        <f t="shared" si="47"/>
        <v>21.306487145000006</v>
      </c>
      <c r="N89" s="16">
        <f t="shared" si="47"/>
        <v>27.989967829999998</v>
      </c>
      <c r="O89" s="16">
        <f t="shared" si="47"/>
        <v>4.2993811699999895</v>
      </c>
      <c r="P89" s="16">
        <f t="shared" si="47"/>
        <v>0.36539808000000562</v>
      </c>
      <c r="Q89" s="16">
        <f t="shared" si="47"/>
        <v>0.34801424400001224</v>
      </c>
      <c r="R89" s="14">
        <f t="shared" si="47"/>
        <v>0.7690249209999962</v>
      </c>
      <c r="S89" s="18"/>
      <c r="T89" s="100" t="str">
        <f>'50% Exceedance Baseline'!T89</f>
        <v>Flow target surplus or deficit after input</v>
      </c>
    </row>
    <row r="90" spans="2:21" s="4" customFormat="1" ht="15.75" thickBot="1" x14ac:dyDescent="0.3">
      <c r="B90" s="80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7"/>
      <c r="S90" s="18"/>
      <c r="T90" s="100"/>
      <c r="U90" s="156"/>
    </row>
    <row r="91" spans="2:21" s="28" customFormat="1" ht="15.75" thickBot="1" x14ac:dyDescent="0.3">
      <c r="B91" s="73" t="s">
        <v>60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121">
        <v>0</v>
      </c>
      <c r="R91" s="46">
        <v>0</v>
      </c>
      <c r="S91" s="105"/>
      <c r="T91" s="100" t="str">
        <f>'50% Exceedance Baseline'!T91</f>
        <v>Flow input between Mgt. Pt. 3 and Mgt. Pt. 4</v>
      </c>
    </row>
    <row r="92" spans="2:21" s="4" customFormat="1" x14ac:dyDescent="0.25">
      <c r="B92" s="79" t="s">
        <v>7</v>
      </c>
      <c r="C92" s="16">
        <f>IF(C100&gt;C99,((C100-C99)*-1),((C99-C100)))</f>
        <v>190.65885420000001</v>
      </c>
      <c r="D92" s="16">
        <f t="shared" ref="D92:R92" si="48">IF(D100&gt;D99,((D100-D99)*-1),((D99-D100)))</f>
        <v>127.40364579999999</v>
      </c>
      <c r="E92" s="16">
        <f t="shared" si="48"/>
        <v>109.20572920000001</v>
      </c>
      <c r="F92" s="16">
        <f t="shared" si="48"/>
        <v>80.912228999999996</v>
      </c>
      <c r="G92" s="16">
        <f t="shared" si="48"/>
        <v>23.391929199999993</v>
      </c>
      <c r="H92" s="16">
        <f t="shared" si="48"/>
        <v>4.3514627199999865</v>
      </c>
      <c r="I92" s="16">
        <f t="shared" si="48"/>
        <v>14.697409860000008</v>
      </c>
      <c r="J92" s="16">
        <f t="shared" si="48"/>
        <v>18.200391620000005</v>
      </c>
      <c r="K92" s="16">
        <f t="shared" si="48"/>
        <v>42.135391179999999</v>
      </c>
      <c r="L92" s="16">
        <f t="shared" si="48"/>
        <v>32.370975749999999</v>
      </c>
      <c r="M92" s="16">
        <f t="shared" si="48"/>
        <v>21.306487145000006</v>
      </c>
      <c r="N92" s="16">
        <f t="shared" si="48"/>
        <v>27.989967829999998</v>
      </c>
      <c r="O92" s="16">
        <f t="shared" si="48"/>
        <v>4.2993811699999895</v>
      </c>
      <c r="P92" s="16">
        <f t="shared" si="48"/>
        <v>0.36539808000000562</v>
      </c>
      <c r="Q92" s="16">
        <f t="shared" si="48"/>
        <v>0.34801424400001224</v>
      </c>
      <c r="R92" s="14">
        <f t="shared" si="48"/>
        <v>0.7690249209999962</v>
      </c>
      <c r="S92" s="18"/>
      <c r="T92" s="100" t="str">
        <f>'50% Exceedance Baseline'!T92</f>
        <v>Flow target surplus or deficit after input</v>
      </c>
      <c r="U92" s="156"/>
    </row>
    <row r="93" spans="2:21" s="4" customFormat="1" x14ac:dyDescent="0.25">
      <c r="B93" s="81" t="s">
        <v>23</v>
      </c>
      <c r="C93" s="18">
        <f t="shared" ref="C93:F93" si="49">SUM(C85+C88+C91)</f>
        <v>0</v>
      </c>
      <c r="D93" s="18">
        <f t="shared" si="49"/>
        <v>0</v>
      </c>
      <c r="E93" s="18">
        <f t="shared" si="49"/>
        <v>0</v>
      </c>
      <c r="F93" s="18">
        <f t="shared" si="49"/>
        <v>0</v>
      </c>
      <c r="G93" s="18">
        <f>SUM(G85+G88+G91)</f>
        <v>0</v>
      </c>
      <c r="H93" s="18">
        <f t="shared" ref="H93:N93" si="50">SUM(H85+H88+H91)</f>
        <v>0</v>
      </c>
      <c r="I93" s="18">
        <f t="shared" si="50"/>
        <v>0</v>
      </c>
      <c r="J93" s="18">
        <f t="shared" si="50"/>
        <v>0</v>
      </c>
      <c r="K93" s="18">
        <f t="shared" si="50"/>
        <v>0</v>
      </c>
      <c r="L93" s="18">
        <f t="shared" si="50"/>
        <v>0</v>
      </c>
      <c r="M93" s="18">
        <f t="shared" si="50"/>
        <v>0</v>
      </c>
      <c r="N93" s="18">
        <f t="shared" si="50"/>
        <v>0</v>
      </c>
      <c r="O93" s="18">
        <f>SUM(O85+O88+O91)</f>
        <v>0</v>
      </c>
      <c r="P93" s="18">
        <f>SUM(P85+P88+P91)</f>
        <v>0</v>
      </c>
      <c r="Q93" s="18">
        <f>SUM(Q85+Q88+Q91)</f>
        <v>0</v>
      </c>
      <c r="R93" s="17">
        <f>SUM(R85+R88+R91)</f>
        <v>0</v>
      </c>
      <c r="S93" s="18"/>
      <c r="T93" s="100" t="str">
        <f>'50% Exceedance Baseline'!T93</f>
        <v>Subtotal of all inputs in Pepper Bridge to Beet Road reach</v>
      </c>
      <c r="U93" s="156"/>
    </row>
    <row r="94" spans="2:21" s="26" customFormat="1" ht="15.75" thickBot="1" x14ac:dyDescent="0.3">
      <c r="B94" s="80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7"/>
      <c r="S94" s="18"/>
      <c r="T94" s="100"/>
      <c r="U94" s="25"/>
    </row>
    <row r="95" spans="2:21" s="64" customFormat="1" ht="15.75" thickBot="1" x14ac:dyDescent="0.3">
      <c r="B95" s="70" t="s">
        <v>69</v>
      </c>
      <c r="C95" s="69">
        <f>'50% Exceedance Baseline'!C95</f>
        <v>-0.107</v>
      </c>
      <c r="D95" s="69">
        <f>'50% Exceedance Baseline'!D95</f>
        <v>-0.107</v>
      </c>
      <c r="E95" s="69">
        <f>'50% Exceedance Baseline'!E95</f>
        <v>-0.107</v>
      </c>
      <c r="F95" s="69">
        <f>'50% Exceedance Baseline'!F95</f>
        <v>-0.107</v>
      </c>
      <c r="G95" s="69">
        <f>'50% Exceedance Baseline'!G95</f>
        <v>-0.107</v>
      </c>
      <c r="H95" s="69">
        <f>'50% Exceedance Baseline'!H95</f>
        <v>-0.107</v>
      </c>
      <c r="I95" s="82">
        <f>'50% Exceedance Baseline'!I95</f>
        <v>1.6E-2</v>
      </c>
      <c r="J95" s="82">
        <f>'50% Exceedance Baseline'!J95</f>
        <v>1.6E-2</v>
      </c>
      <c r="K95" s="69">
        <f>'50% Exceedance Baseline'!K95</f>
        <v>-1.9E-2</v>
      </c>
      <c r="L95" s="69">
        <f>'50% Exceedance Baseline'!L95</f>
        <v>-1.9E-2</v>
      </c>
      <c r="M95" s="69">
        <f>'50% Exceedance Baseline'!M95</f>
        <v>-4.2999999999999997E-2</v>
      </c>
      <c r="N95" s="69">
        <f>'50% Exceedance Baseline'!N95</f>
        <v>-4.2999999999999997E-2</v>
      </c>
      <c r="O95" s="69">
        <f>'50% Exceedance Baseline'!O95</f>
        <v>-2.7E-2</v>
      </c>
      <c r="P95" s="69">
        <f>'50% Exceedance Baseline'!P95</f>
        <v>-2.7E-2</v>
      </c>
      <c r="Q95" s="69">
        <f>'50% Exceedance Baseline'!Q95</f>
        <v>-3.3000000000000002E-2</v>
      </c>
      <c r="R95" s="69">
        <f>'50% Exceedance Baseline'!R95</f>
        <v>-3.3000000000000002E-2</v>
      </c>
      <c r="S95" s="107"/>
      <c r="T95" s="100" t="str">
        <f>'50% Exceedance Baseline'!T95</f>
        <v>Percentage total inputs lost or gained due to streambed hydrology (2002-2015 WWBWC seepage data)</v>
      </c>
      <c r="U95" s="83"/>
    </row>
    <row r="96" spans="2:21" x14ac:dyDescent="0.25">
      <c r="B96" s="84" t="s">
        <v>20</v>
      </c>
      <c r="C96" s="57">
        <f>SUM(C93+C72)*(1+C95)</f>
        <v>0</v>
      </c>
      <c r="D96" s="57">
        <f t="shared" ref="D96:N96" si="51">SUM(D93+D72)*(1+D95)</f>
        <v>0</v>
      </c>
      <c r="E96" s="57">
        <f t="shared" si="51"/>
        <v>0</v>
      </c>
      <c r="F96" s="57">
        <f t="shared" si="51"/>
        <v>28.909624799999996</v>
      </c>
      <c r="G96" s="57">
        <f t="shared" si="51"/>
        <v>98.010679199999998</v>
      </c>
      <c r="H96" s="57">
        <f t="shared" si="51"/>
        <v>64.165264799999989</v>
      </c>
      <c r="I96" s="57">
        <f t="shared" si="51"/>
        <v>49.395847360000005</v>
      </c>
      <c r="J96" s="57">
        <f t="shared" si="51"/>
        <v>48.700131200000001</v>
      </c>
      <c r="K96" s="57">
        <f t="shared" si="51"/>
        <v>72.831745350000006</v>
      </c>
      <c r="L96" s="57">
        <f t="shared" si="51"/>
        <v>62.333475749999998</v>
      </c>
      <c r="M96" s="57">
        <f t="shared" si="51"/>
        <v>43.437737145</v>
      </c>
      <c r="N96" s="57">
        <f t="shared" si="51"/>
        <v>44.086061579999999</v>
      </c>
      <c r="O96" s="57">
        <f>SUM(O93+O72)*(1+O95)</f>
        <v>40.621776999999994</v>
      </c>
      <c r="P96" s="57">
        <f>SUM(P93+P72)*(1+P95)</f>
        <v>42.24664808</v>
      </c>
      <c r="Q96" s="57">
        <f>SUM(Q93+Q72)*(1+Q95)</f>
        <v>41.804785074000009</v>
      </c>
      <c r="R96" s="58">
        <f>SUM(R93+R72)*(1+R95)</f>
        <v>29.703399921000003</v>
      </c>
      <c r="S96" s="110"/>
      <c r="T96" s="100" t="str">
        <f>'50% Exceedance Baseline'!T96</f>
        <v>Total of all upstream input flow adjusted for streambed loss or gain</v>
      </c>
    </row>
    <row r="97" spans="2:22" s="12" customFormat="1" ht="15.75" thickBot="1" x14ac:dyDescent="0.3">
      <c r="B97" s="71" t="s">
        <v>120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110"/>
      <c r="T97" s="100"/>
    </row>
    <row r="98" spans="2:22" s="4" customFormat="1" ht="15.75" thickBot="1" x14ac:dyDescent="0.3">
      <c r="B98" s="24" t="s">
        <v>55</v>
      </c>
      <c r="C98" s="123">
        <f>'50% Exceedance Baseline'!C98</f>
        <v>340.65885420000001</v>
      </c>
      <c r="D98" s="123">
        <f>'50% Exceedance Baseline'!D98</f>
        <v>277.40364579999999</v>
      </c>
      <c r="E98" s="123">
        <f>'50% Exceedance Baseline'!E98</f>
        <v>259.20572920000001</v>
      </c>
      <c r="F98" s="123">
        <f>'50% Exceedance Baseline'!F98</f>
        <v>202.00260420000001</v>
      </c>
      <c r="G98" s="123">
        <f>'50% Exceedance Baseline'!G98</f>
        <v>75.381249999999994</v>
      </c>
      <c r="H98" s="123">
        <f>'50% Exceedance Baseline'!H98</f>
        <v>40.186197919999998</v>
      </c>
      <c r="I98" s="123">
        <f>'50% Exceedance Baseline'!I98</f>
        <v>30.301562499999999</v>
      </c>
      <c r="J98" s="123">
        <f>'50% Exceedance Baseline'!J98</f>
        <v>34.500260419999996</v>
      </c>
      <c r="K98" s="123">
        <f>'50% Exceedance Baseline'!K98</f>
        <v>34.303645830000001</v>
      </c>
      <c r="L98" s="123">
        <f>'50% Exceedance Baseline'!L98</f>
        <v>35.037500000000001</v>
      </c>
      <c r="M98" s="123">
        <f>'50% Exceedance Baseline'!M98</f>
        <v>42.868749999999999</v>
      </c>
      <c r="N98" s="123">
        <f>'50% Exceedance Baseline'!N98</f>
        <v>48.903906249999999</v>
      </c>
      <c r="O98" s="123">
        <f>'50% Exceedance Baseline'!O98</f>
        <v>28.677604169999999</v>
      </c>
      <c r="P98" s="123">
        <f>'50% Exceedance Baseline'!P98</f>
        <v>23.118749999999999</v>
      </c>
      <c r="Q98" s="123">
        <f>'50% Exceedance Baseline'!Q98</f>
        <v>23.54322917</v>
      </c>
      <c r="R98" s="123">
        <f>'50% Exceedance Baseline'!R98</f>
        <v>36.065624999999997</v>
      </c>
      <c r="S98" s="19"/>
      <c r="T98" s="100" t="str">
        <f>'50% Exceedance Baseline'!T98</f>
        <v>Median flow data at S-109 gage (2002-2016)</v>
      </c>
      <c r="U98" s="156"/>
    </row>
    <row r="99" spans="2:22" x14ac:dyDescent="0.25">
      <c r="B99" s="47" t="s">
        <v>39</v>
      </c>
      <c r="C99" s="48">
        <f>(C98+C96)+C97</f>
        <v>340.65885420000001</v>
      </c>
      <c r="D99" s="48">
        <f t="shared" ref="D99:R99" si="52">(D98+D96)+D97</f>
        <v>277.40364579999999</v>
      </c>
      <c r="E99" s="48">
        <f t="shared" si="52"/>
        <v>259.20572920000001</v>
      </c>
      <c r="F99" s="48">
        <f t="shared" si="52"/>
        <v>230.912229</v>
      </c>
      <c r="G99" s="48">
        <f t="shared" si="52"/>
        <v>173.39192919999999</v>
      </c>
      <c r="H99" s="48">
        <f t="shared" si="52"/>
        <v>104.35146271999999</v>
      </c>
      <c r="I99" s="48">
        <f t="shared" si="52"/>
        <v>79.697409860000008</v>
      </c>
      <c r="J99" s="48">
        <f t="shared" si="52"/>
        <v>83.200391620000005</v>
      </c>
      <c r="K99" s="48">
        <f t="shared" si="52"/>
        <v>107.13539118</v>
      </c>
      <c r="L99" s="48">
        <f t="shared" si="52"/>
        <v>97.370975749999999</v>
      </c>
      <c r="M99" s="48">
        <f t="shared" si="52"/>
        <v>86.306487145000006</v>
      </c>
      <c r="N99" s="48">
        <f t="shared" si="52"/>
        <v>92.989967829999998</v>
      </c>
      <c r="O99" s="48">
        <f t="shared" si="52"/>
        <v>69.29938116999999</v>
      </c>
      <c r="P99" s="48">
        <f t="shared" si="52"/>
        <v>65.365398080000006</v>
      </c>
      <c r="Q99" s="133">
        <f t="shared" si="52"/>
        <v>65.348014244000012</v>
      </c>
      <c r="R99" s="49">
        <f t="shared" si="52"/>
        <v>65.769024920999996</v>
      </c>
      <c r="S99" s="111"/>
      <c r="T99" s="100" t="str">
        <f>'50% Exceedance Baseline'!T99</f>
        <v>Flow gage data plus cumulative inputs adjusted for streambed loss or gain</v>
      </c>
    </row>
    <row r="100" spans="2:22" x14ac:dyDescent="0.25">
      <c r="B100" s="10" t="s">
        <v>8</v>
      </c>
      <c r="C100" s="8">
        <f>$C$16</f>
        <v>150</v>
      </c>
      <c r="D100" s="8">
        <f>$D$16</f>
        <v>150</v>
      </c>
      <c r="E100" s="8">
        <f>$E$16</f>
        <v>150</v>
      </c>
      <c r="F100" s="8">
        <f>$F$16</f>
        <v>150</v>
      </c>
      <c r="G100" s="8">
        <f>$G$16</f>
        <v>150</v>
      </c>
      <c r="H100" s="8">
        <f>$H$16</f>
        <v>100</v>
      </c>
      <c r="I100" s="8">
        <f>$I$16</f>
        <v>65</v>
      </c>
      <c r="J100" s="8">
        <f>$J$16</f>
        <v>65</v>
      </c>
      <c r="K100" s="8">
        <f>$K$16</f>
        <v>65</v>
      </c>
      <c r="L100" s="8">
        <f>$L$16</f>
        <v>65</v>
      </c>
      <c r="M100" s="8">
        <f>$M$16</f>
        <v>65</v>
      </c>
      <c r="N100" s="8">
        <f>$N$16</f>
        <v>65</v>
      </c>
      <c r="O100" s="8">
        <f>$O$16</f>
        <v>65</v>
      </c>
      <c r="P100" s="8">
        <f>$P$16</f>
        <v>65</v>
      </c>
      <c r="Q100" s="8">
        <f>$Q$16</f>
        <v>65</v>
      </c>
      <c r="R100" s="9">
        <f>$R$16</f>
        <v>65</v>
      </c>
      <c r="S100" s="112"/>
      <c r="T100" s="100" t="str">
        <f>'50% Exceedance Baseline'!T100</f>
        <v>Target flows</v>
      </c>
    </row>
    <row r="101" spans="2:22" ht="15.75" thickBot="1" x14ac:dyDescent="0.3">
      <c r="B101" s="37" t="s">
        <v>13</v>
      </c>
      <c r="C101" s="38">
        <f>IF(C99&gt;C100,0,(C100-C99)*-1)</f>
        <v>0</v>
      </c>
      <c r="D101" s="38">
        <f t="shared" ref="D101:E101" si="53">IF(D99&gt;D100,0,(D100-D99)*-1)</f>
        <v>0</v>
      </c>
      <c r="E101" s="38">
        <f t="shared" si="53"/>
        <v>0</v>
      </c>
      <c r="F101" s="38">
        <f>IF(F99&gt;F100,0,(F100-F99)*-1)</f>
        <v>0</v>
      </c>
      <c r="G101" s="38">
        <f t="shared" ref="G101:N101" si="54">IF(G99&gt;G100,0,(G100-G99)*-1)</f>
        <v>0</v>
      </c>
      <c r="H101" s="38">
        <f t="shared" si="54"/>
        <v>0</v>
      </c>
      <c r="I101" s="38">
        <f t="shared" si="54"/>
        <v>0</v>
      </c>
      <c r="J101" s="38">
        <f t="shared" si="54"/>
        <v>0</v>
      </c>
      <c r="K101" s="38">
        <f t="shared" si="54"/>
        <v>0</v>
      </c>
      <c r="L101" s="38">
        <f t="shared" si="54"/>
        <v>0</v>
      </c>
      <c r="M101" s="38">
        <f t="shared" si="54"/>
        <v>0</v>
      </c>
      <c r="N101" s="38">
        <f t="shared" si="54"/>
        <v>0</v>
      </c>
      <c r="O101" s="38">
        <f>IF(O99&gt;O100,0,(O100-O99)*-1)</f>
        <v>0</v>
      </c>
      <c r="P101" s="38">
        <f>IF(P99&gt;P100,0,(P100-P99)*-1)</f>
        <v>0</v>
      </c>
      <c r="Q101" s="38">
        <f>IF(Q99&gt;Q100,0,(Q100-Q99)*-1)</f>
        <v>0</v>
      </c>
      <c r="R101" s="39">
        <f>IF(R99&gt;R100,0,(R100-R99)*-1)</f>
        <v>0</v>
      </c>
      <c r="S101" s="105"/>
      <c r="T101" s="100" t="str">
        <f>'50% Exceedance Baseline'!T101</f>
        <v>Deficit between target flows and flow gage data plus total adjusted inputs</v>
      </c>
    </row>
    <row r="102" spans="2:22" x14ac:dyDescent="0.25">
      <c r="B102" s="40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105"/>
    </row>
    <row r="103" spans="2:22" x14ac:dyDescent="0.25">
      <c r="B103" s="35" t="s">
        <v>101</v>
      </c>
      <c r="C103" s="34">
        <f>C119-C98</f>
        <v>140.34114579999999</v>
      </c>
      <c r="D103" s="34">
        <f t="shared" ref="D103:N103" si="55">D119-D98</f>
        <v>87.096354200000007</v>
      </c>
      <c r="E103" s="34">
        <f t="shared" si="55"/>
        <v>112.29427079999999</v>
      </c>
      <c r="F103" s="34">
        <f t="shared" si="55"/>
        <v>13.997395799999993</v>
      </c>
      <c r="G103" s="34">
        <f t="shared" si="55"/>
        <v>40.618750000000006</v>
      </c>
      <c r="H103" s="34">
        <f t="shared" si="55"/>
        <v>29.613802079999999</v>
      </c>
      <c r="I103" s="34">
        <f t="shared" si="55"/>
        <v>8.9984374999999979</v>
      </c>
      <c r="J103" s="34">
        <f t="shared" si="55"/>
        <v>3.6997395800000064</v>
      </c>
      <c r="K103" s="34">
        <f t="shared" si="55"/>
        <v>4.5463541700000007</v>
      </c>
      <c r="L103" s="34">
        <f t="shared" si="55"/>
        <v>7.3624999999999972</v>
      </c>
      <c r="M103" s="34">
        <f t="shared" si="55"/>
        <v>8.03125</v>
      </c>
      <c r="N103" s="34">
        <f t="shared" si="55"/>
        <v>9.0460937500000043</v>
      </c>
      <c r="O103" s="34">
        <f>O119-O98</f>
        <v>16.322395830000001</v>
      </c>
      <c r="P103" s="34">
        <f>P119-P98</f>
        <v>25.581250000000004</v>
      </c>
      <c r="Q103" s="34">
        <f>Q119-Q98</f>
        <v>37.456770829999996</v>
      </c>
      <c r="R103" s="34">
        <f>R119-R98</f>
        <v>56.634375000000006</v>
      </c>
      <c r="S103" s="63"/>
      <c r="T103" s="100" t="str">
        <f>'50% Exceedance Baseline'!T103</f>
        <v>Detour gaging data minus Beet Road gaging data</v>
      </c>
    </row>
    <row r="104" spans="2:22" s="12" customFormat="1" x14ac:dyDescent="0.25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100"/>
      <c r="U104" s="13"/>
    </row>
    <row r="105" spans="2:22" ht="15.75" thickBot="1" x14ac:dyDescent="0.3">
      <c r="B105" s="64" t="s">
        <v>65</v>
      </c>
      <c r="C105" s="22">
        <f>IF(C109&gt;0,10,0)</f>
        <v>0</v>
      </c>
      <c r="D105" s="22">
        <f t="shared" ref="D105:R105" si="56">IF(D109&gt;0,10,0)</f>
        <v>0</v>
      </c>
      <c r="E105" s="22">
        <f t="shared" si="56"/>
        <v>0</v>
      </c>
      <c r="F105" s="22">
        <f t="shared" si="56"/>
        <v>10</v>
      </c>
      <c r="G105" s="22">
        <f t="shared" si="56"/>
        <v>10</v>
      </c>
      <c r="H105" s="22">
        <f t="shared" si="56"/>
        <v>0</v>
      </c>
      <c r="I105" s="22">
        <f t="shared" si="56"/>
        <v>0</v>
      </c>
      <c r="J105" s="22">
        <f t="shared" si="56"/>
        <v>0</v>
      </c>
      <c r="K105" s="22">
        <f t="shared" si="56"/>
        <v>0</v>
      </c>
      <c r="L105" s="22">
        <f t="shared" si="56"/>
        <v>0</v>
      </c>
      <c r="M105" s="22">
        <f t="shared" si="56"/>
        <v>0</v>
      </c>
      <c r="N105" s="22">
        <f t="shared" si="56"/>
        <v>0</v>
      </c>
      <c r="O105" s="22">
        <f t="shared" si="56"/>
        <v>0</v>
      </c>
      <c r="P105" s="22">
        <f t="shared" si="56"/>
        <v>0</v>
      </c>
      <c r="Q105" s="22">
        <f t="shared" si="56"/>
        <v>0</v>
      </c>
      <c r="R105" s="22">
        <f t="shared" si="56"/>
        <v>0</v>
      </c>
      <c r="S105" s="110"/>
      <c r="T105" s="101" t="s">
        <v>118</v>
      </c>
      <c r="U105" s="139">
        <f>SUM(C105:R105)*15*1.9835</f>
        <v>595.05000000000007</v>
      </c>
      <c r="V105" s="11" t="s">
        <v>122</v>
      </c>
    </row>
    <row r="106" spans="2:22" ht="15.75" thickBot="1" x14ac:dyDescent="0.3">
      <c r="B106" s="72" t="s">
        <v>119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105"/>
      <c r="T106" s="100" t="str">
        <f>'50% Exceedance Baseline'!T106</f>
        <v>Flow input between Mgt. Pt. 4 and Mgt. Pt. 5</v>
      </c>
    </row>
    <row r="107" spans="2:22" x14ac:dyDescent="0.25">
      <c r="B107" s="79" t="s">
        <v>7</v>
      </c>
      <c r="C107" s="16">
        <f>IF(C121&gt;C120,((C121-C120)*-1),((C120-C121)))</f>
        <v>331</v>
      </c>
      <c r="D107" s="16">
        <f t="shared" ref="D107:E107" si="57">IF(D121&gt;D120,((D121-D120)*-1),((D120-D121)))</f>
        <v>214.5</v>
      </c>
      <c r="E107" s="16">
        <f t="shared" si="57"/>
        <v>221.5</v>
      </c>
      <c r="F107" s="16">
        <f>IF(F121&gt;F120,((F121-F120)*-1),((F120-F121)))</f>
        <v>129.45736541999997</v>
      </c>
      <c r="G107" s="16">
        <f>IF(G121&gt;G120,((G121-G120)*-1),((G120-G121)))</f>
        <v>81.835946180000008</v>
      </c>
      <c r="H107" s="16">
        <f t="shared" ref="H107:R107" si="58">IF(H121&gt;H120,((H121-H120)*-1),((H120-H121)))</f>
        <v>35.569396419999975</v>
      </c>
      <c r="I107" s="16">
        <f t="shared" si="58"/>
        <v>25.474097864960001</v>
      </c>
      <c r="J107" s="16">
        <f t="shared" si="58"/>
        <v>23.653335923200004</v>
      </c>
      <c r="K107" s="16">
        <f t="shared" si="58"/>
        <v>42.239008883650001</v>
      </c>
      <c r="L107" s="16">
        <f t="shared" si="58"/>
        <v>35.931133729250007</v>
      </c>
      <c r="M107" s="16">
        <f t="shared" si="58"/>
        <v>28.946797510695006</v>
      </c>
      <c r="N107" s="16">
        <f t="shared" si="58"/>
        <v>36.639287025779993</v>
      </c>
      <c r="O107" s="16">
        <f t="shared" si="58"/>
        <v>26.71504354999999</v>
      </c>
      <c r="P107" s="16">
        <f t="shared" si="58"/>
        <v>32.283645291999989</v>
      </c>
      <c r="Q107" s="16">
        <f t="shared" si="58"/>
        <v>32.871820435268006</v>
      </c>
      <c r="R107" s="14">
        <f t="shared" si="58"/>
        <v>53.898398730322</v>
      </c>
      <c r="S107" s="18"/>
      <c r="T107" s="100" t="str">
        <f>'50% Exceedance Baseline'!T107</f>
        <v>Flow target surplus or deficit after input</v>
      </c>
    </row>
    <row r="108" spans="2:22" ht="15.75" thickBot="1" x14ac:dyDescent="0.3">
      <c r="B108" s="80"/>
      <c r="C108" s="18"/>
      <c r="D108" s="18"/>
      <c r="E108" s="18"/>
      <c r="F108" s="18"/>
      <c r="G108" s="18">
        <v>25</v>
      </c>
      <c r="H108" s="18">
        <v>20</v>
      </c>
      <c r="I108" s="18"/>
      <c r="J108" s="18"/>
      <c r="K108" s="18"/>
      <c r="L108" s="18"/>
      <c r="M108" s="18"/>
      <c r="N108" s="18"/>
      <c r="O108" s="18">
        <v>22</v>
      </c>
      <c r="P108" s="18">
        <v>26</v>
      </c>
      <c r="Q108" s="18"/>
      <c r="R108" s="17"/>
      <c r="S108" s="18"/>
    </row>
    <row r="109" spans="2:22" ht="15.75" thickBot="1" x14ac:dyDescent="0.3">
      <c r="B109" s="73" t="s">
        <v>116</v>
      </c>
      <c r="C109" s="46">
        <v>0</v>
      </c>
      <c r="D109" s="46">
        <v>0</v>
      </c>
      <c r="E109" s="46">
        <v>0</v>
      </c>
      <c r="F109" s="46">
        <v>33</v>
      </c>
      <c r="G109" s="46">
        <v>15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105"/>
      <c r="T109" s="100" t="str">
        <f>'50% Exceedance Baseline'!T109</f>
        <v>Flow input between Mgt. Pt. 4 and Mgt. Pt. 5</v>
      </c>
    </row>
    <row r="110" spans="2:22" x14ac:dyDescent="0.25">
      <c r="B110" s="79" t="s">
        <v>7</v>
      </c>
      <c r="C110" s="16">
        <f>IF(C121&gt;C120,((C121-C120)*-1),((C120-C121)))</f>
        <v>331</v>
      </c>
      <c r="D110" s="16">
        <f t="shared" ref="D110:R110" si="59">IF(D121&gt;D120,((D121-D120)*-1),((D120-D121)))</f>
        <v>214.5</v>
      </c>
      <c r="E110" s="16">
        <f t="shared" si="59"/>
        <v>221.5</v>
      </c>
      <c r="F110" s="16">
        <f t="shared" si="59"/>
        <v>129.45736541999997</v>
      </c>
      <c r="G110" s="16">
        <f t="shared" si="59"/>
        <v>81.835946180000008</v>
      </c>
      <c r="H110" s="16">
        <f t="shared" si="59"/>
        <v>35.569396419999975</v>
      </c>
      <c r="I110" s="16">
        <f t="shared" si="59"/>
        <v>25.474097864960001</v>
      </c>
      <c r="J110" s="16">
        <f t="shared" si="59"/>
        <v>23.653335923200004</v>
      </c>
      <c r="K110" s="16">
        <f t="shared" si="59"/>
        <v>42.239008883650001</v>
      </c>
      <c r="L110" s="16">
        <f t="shared" si="59"/>
        <v>35.931133729250007</v>
      </c>
      <c r="M110" s="16">
        <f t="shared" si="59"/>
        <v>28.946797510695006</v>
      </c>
      <c r="N110" s="16">
        <f t="shared" si="59"/>
        <v>36.639287025779993</v>
      </c>
      <c r="O110" s="16">
        <f t="shared" si="59"/>
        <v>26.71504354999999</v>
      </c>
      <c r="P110" s="16">
        <f t="shared" si="59"/>
        <v>32.283645291999989</v>
      </c>
      <c r="Q110" s="16">
        <f t="shared" si="59"/>
        <v>32.871820435268006</v>
      </c>
      <c r="R110" s="14">
        <f t="shared" si="59"/>
        <v>53.898398730322</v>
      </c>
      <c r="S110" s="18"/>
      <c r="T110" s="100" t="str">
        <f>'50% Exceedance Baseline'!T110</f>
        <v>Flow target surplus or deficit after input</v>
      </c>
    </row>
    <row r="111" spans="2:22" s="4" customFormat="1" ht="15.75" thickBot="1" x14ac:dyDescent="0.3">
      <c r="B111" s="135" t="s">
        <v>115</v>
      </c>
      <c r="C111" s="136">
        <f t="shared" ref="C111:R111" si="60">C109*15*1.9835</f>
        <v>0</v>
      </c>
      <c r="D111" s="136">
        <f t="shared" si="60"/>
        <v>0</v>
      </c>
      <c r="E111" s="136">
        <f t="shared" si="60"/>
        <v>0</v>
      </c>
      <c r="F111" s="136">
        <f t="shared" si="60"/>
        <v>981.83249999999998</v>
      </c>
      <c r="G111" s="136">
        <f>G109*15*1.9835</f>
        <v>446.28750000000002</v>
      </c>
      <c r="H111" s="136">
        <f t="shared" si="60"/>
        <v>0</v>
      </c>
      <c r="I111" s="136">
        <f t="shared" si="60"/>
        <v>0</v>
      </c>
      <c r="J111" s="136">
        <f t="shared" si="60"/>
        <v>0</v>
      </c>
      <c r="K111" s="136">
        <f t="shared" si="60"/>
        <v>0</v>
      </c>
      <c r="L111" s="136">
        <f t="shared" si="60"/>
        <v>0</v>
      </c>
      <c r="M111" s="136">
        <f t="shared" si="60"/>
        <v>0</v>
      </c>
      <c r="N111" s="136">
        <f t="shared" si="60"/>
        <v>0</v>
      </c>
      <c r="O111" s="136">
        <f t="shared" si="60"/>
        <v>0</v>
      </c>
      <c r="P111" s="136">
        <f t="shared" si="60"/>
        <v>0</v>
      </c>
      <c r="Q111" s="136">
        <f t="shared" si="60"/>
        <v>0</v>
      </c>
      <c r="R111" s="137">
        <f t="shared" si="60"/>
        <v>0</v>
      </c>
      <c r="S111" s="136"/>
      <c r="T111" s="101" t="s">
        <v>118</v>
      </c>
      <c r="U111" s="139">
        <f>SUM(C111:R111)</f>
        <v>1428.12</v>
      </c>
    </row>
    <row r="112" spans="2:22" ht="15.75" thickBot="1" x14ac:dyDescent="0.3">
      <c r="B112" s="73" t="s">
        <v>60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121">
        <v>0</v>
      </c>
      <c r="R112" s="46">
        <v>0</v>
      </c>
      <c r="S112" s="105"/>
      <c r="T112" s="100" t="str">
        <f>'50% Exceedance Baseline'!T112</f>
        <v>Flow input between Mgt. Pt. 4 and Mgt. Pt. 5</v>
      </c>
    </row>
    <row r="113" spans="2:22" x14ac:dyDescent="0.25">
      <c r="B113" s="79" t="s">
        <v>7</v>
      </c>
      <c r="C113" s="16">
        <f>IF(C121&gt;C120,((C121-C120)*-1),((C120-C121)))</f>
        <v>331</v>
      </c>
      <c r="D113" s="16">
        <f t="shared" ref="D113" si="61">IF(D121&gt;D120,((D121-D120)*-1),((D120-D121)))</f>
        <v>214.5</v>
      </c>
      <c r="E113" s="16">
        <f>IF(E121&gt;E120,((E121-E120)*-1),((E120-E121)))</f>
        <v>221.5</v>
      </c>
      <c r="F113" s="16">
        <f t="shared" ref="F113:R113" si="62">IF(F121&gt;F120,((F121-F120)*-1),((F120-F121)))</f>
        <v>129.45736541999997</v>
      </c>
      <c r="G113" s="16">
        <f t="shared" si="62"/>
        <v>81.835946180000008</v>
      </c>
      <c r="H113" s="16">
        <f t="shared" si="62"/>
        <v>35.569396419999975</v>
      </c>
      <c r="I113" s="16">
        <f t="shared" si="62"/>
        <v>25.474097864960001</v>
      </c>
      <c r="J113" s="16">
        <f t="shared" si="62"/>
        <v>23.653335923200004</v>
      </c>
      <c r="K113" s="16">
        <f t="shared" si="62"/>
        <v>42.239008883650001</v>
      </c>
      <c r="L113" s="16">
        <f t="shared" si="62"/>
        <v>35.931133729250007</v>
      </c>
      <c r="M113" s="16">
        <f t="shared" si="62"/>
        <v>28.946797510695006</v>
      </c>
      <c r="N113" s="16">
        <f t="shared" si="62"/>
        <v>36.639287025779993</v>
      </c>
      <c r="O113" s="16">
        <f t="shared" si="62"/>
        <v>26.71504354999999</v>
      </c>
      <c r="P113" s="16">
        <f t="shared" si="62"/>
        <v>32.283645291999989</v>
      </c>
      <c r="Q113" s="16">
        <f t="shared" si="62"/>
        <v>32.871820435268006</v>
      </c>
      <c r="R113" s="14">
        <f t="shared" si="62"/>
        <v>53.898398730322</v>
      </c>
      <c r="S113" s="18"/>
      <c r="T113" s="100" t="str">
        <f>'50% Exceedance Baseline'!T113</f>
        <v>Flow target surplus or deficit after input</v>
      </c>
    </row>
    <row r="114" spans="2:22" s="11" customFormat="1" x14ac:dyDescent="0.25">
      <c r="B114" s="81" t="s">
        <v>24</v>
      </c>
      <c r="C114" s="18">
        <f>SUM(C106+C109+C112)</f>
        <v>0</v>
      </c>
      <c r="D114" s="18">
        <f t="shared" ref="D114:F114" si="63">SUM(D106+D109+D112)</f>
        <v>0</v>
      </c>
      <c r="E114" s="18">
        <f t="shared" si="63"/>
        <v>0</v>
      </c>
      <c r="F114" s="18">
        <f t="shared" si="63"/>
        <v>33</v>
      </c>
      <c r="G114" s="18">
        <f>SUM(G106+G109+G112)</f>
        <v>15</v>
      </c>
      <c r="H114" s="18">
        <f t="shared" ref="H114:N114" si="64">SUM(H106+H109+H112)</f>
        <v>0</v>
      </c>
      <c r="I114" s="18">
        <f t="shared" si="64"/>
        <v>0</v>
      </c>
      <c r="J114" s="18">
        <f t="shared" si="64"/>
        <v>0</v>
      </c>
      <c r="K114" s="18">
        <f t="shared" si="64"/>
        <v>0</v>
      </c>
      <c r="L114" s="18">
        <f t="shared" si="64"/>
        <v>0</v>
      </c>
      <c r="M114" s="18">
        <f t="shared" si="64"/>
        <v>0</v>
      </c>
      <c r="N114" s="18">
        <f t="shared" si="64"/>
        <v>0</v>
      </c>
      <c r="O114" s="18">
        <f>SUM(O106+O109+O112)</f>
        <v>0</v>
      </c>
      <c r="P114" s="18">
        <f>SUM(P106+P109+P112)</f>
        <v>0</v>
      </c>
      <c r="Q114" s="18">
        <f>SUM(Q106+Q109+Q112)</f>
        <v>0</v>
      </c>
      <c r="R114" s="17">
        <f>SUM(R106+R109+R112)</f>
        <v>0</v>
      </c>
      <c r="S114" s="18"/>
      <c r="T114" s="100" t="str">
        <f>'50% Exceedance Baseline'!T114</f>
        <v>Subtotal of all inputs in Beet Road to Detour Road reach</v>
      </c>
      <c r="U114" s="8"/>
    </row>
    <row r="115" spans="2:22" ht="15.75" thickBot="1" x14ac:dyDescent="0.3">
      <c r="B115" s="80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7"/>
      <c r="S115" s="18"/>
    </row>
    <row r="116" spans="2:22" s="64" customFormat="1" ht="15.75" thickBot="1" x14ac:dyDescent="0.3">
      <c r="B116" s="70" t="s">
        <v>69</v>
      </c>
      <c r="C116" s="82">
        <f>'50% Exceedance Baseline'!C116</f>
        <v>2.5000000000000001E-2</v>
      </c>
      <c r="D116" s="82">
        <f>'50% Exceedance Baseline'!D116</f>
        <v>2.5000000000000001E-2</v>
      </c>
      <c r="E116" s="82">
        <f>'50% Exceedance Baseline'!E116</f>
        <v>2.5000000000000001E-2</v>
      </c>
      <c r="F116" s="82">
        <f>'50% Exceedance Baseline'!F116</f>
        <v>2.5000000000000001E-2</v>
      </c>
      <c r="G116" s="82">
        <f>'50% Exceedance Baseline'!G116</f>
        <v>2.5000000000000001E-2</v>
      </c>
      <c r="H116" s="82">
        <f>'50% Exceedance Baseline'!H116</f>
        <v>2.5000000000000001E-2</v>
      </c>
      <c r="I116" s="82">
        <f>'50% Exceedance Baseline'!I116</f>
        <v>3.5999999999999997E-2</v>
      </c>
      <c r="J116" s="82">
        <f>'50% Exceedance Baseline'!J116</f>
        <v>3.5999999999999997E-2</v>
      </c>
      <c r="K116" s="69">
        <f>'50% Exceedance Baseline'!K116</f>
        <v>-6.0999999999999999E-2</v>
      </c>
      <c r="L116" s="69">
        <f>'50% Exceedance Baseline'!L116</f>
        <v>-6.0999999999999999E-2</v>
      </c>
      <c r="M116" s="69">
        <f>'50% Exceedance Baseline'!M116</f>
        <v>-8.9999999999999993E-3</v>
      </c>
      <c r="N116" s="69">
        <f>'50% Exceedance Baseline'!N116</f>
        <v>-8.9999999999999993E-3</v>
      </c>
      <c r="O116" s="69">
        <f>'50% Exceedance Baseline'!O116</f>
        <v>0.15</v>
      </c>
      <c r="P116" s="69">
        <f>'50% Exceedance Baseline'!P116</f>
        <v>0.15</v>
      </c>
      <c r="Q116" s="69">
        <f>'50% Exceedance Baseline'!Q116</f>
        <v>-0.11799999999999999</v>
      </c>
      <c r="R116" s="69">
        <f>'50% Exceedance Baseline'!R116</f>
        <v>-0.11799999999999999</v>
      </c>
      <c r="S116" s="106"/>
      <c r="T116" s="100" t="str">
        <f>'50% Exceedance Baseline'!T116</f>
        <v>Percentage total inputs lost or gained due to streambed hydrology (2002-2015 WWBWC seepage data)</v>
      </c>
      <c r="U116" s="83"/>
    </row>
    <row r="117" spans="2:22" s="26" customFormat="1" x14ac:dyDescent="0.25">
      <c r="B117" s="84" t="s">
        <v>20</v>
      </c>
      <c r="C117" s="57">
        <f>SUM(C114+C96)*(1+C116)</f>
        <v>0</v>
      </c>
      <c r="D117" s="57">
        <f t="shared" ref="D117:N117" si="65">SUM(D114+D96)*(1+D116)</f>
        <v>0</v>
      </c>
      <c r="E117" s="57">
        <f t="shared" si="65"/>
        <v>0</v>
      </c>
      <c r="F117" s="57">
        <f t="shared" si="65"/>
        <v>63.457365419999988</v>
      </c>
      <c r="G117" s="57">
        <f t="shared" si="65"/>
        <v>115.83594617999999</v>
      </c>
      <c r="H117" s="57">
        <f t="shared" si="65"/>
        <v>65.769396419999978</v>
      </c>
      <c r="I117" s="57">
        <f t="shared" si="65"/>
        <v>51.174097864960004</v>
      </c>
      <c r="J117" s="57">
        <f t="shared" si="65"/>
        <v>50.453335923200001</v>
      </c>
      <c r="K117" s="57">
        <f t="shared" si="65"/>
        <v>68.389008883650007</v>
      </c>
      <c r="L117" s="57">
        <f t="shared" si="65"/>
        <v>58.531133729250001</v>
      </c>
      <c r="M117" s="57">
        <f t="shared" si="65"/>
        <v>43.046797510695001</v>
      </c>
      <c r="N117" s="57">
        <f t="shared" si="65"/>
        <v>43.689287025779997</v>
      </c>
      <c r="O117" s="57">
        <f>SUM(O114+O96)*(1+O116)</f>
        <v>46.71504354999999</v>
      </c>
      <c r="P117" s="122">
        <f>SUM(P114+P96)*(1+P116)</f>
        <v>48.583645291999993</v>
      </c>
      <c r="Q117" s="57">
        <f>SUM(Q114+Q96)*(1+Q116)</f>
        <v>36.871820435268006</v>
      </c>
      <c r="R117" s="68">
        <f>SUM(R114+R96)*(1+R116)</f>
        <v>26.198398730322001</v>
      </c>
      <c r="S117" s="110"/>
      <c r="T117" s="100" t="str">
        <f>'50% Exceedance Baseline'!T117</f>
        <v>Total of all upstream input flow adjusted for streambed loss or gain</v>
      </c>
      <c r="U117" s="25"/>
    </row>
    <row r="118" spans="2:22" ht="15.75" thickBot="1" x14ac:dyDescent="0.3">
      <c r="B118" s="7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3"/>
      <c r="S118" s="110"/>
    </row>
    <row r="119" spans="2:22" ht="16.5" thickBot="1" x14ac:dyDescent="0.3">
      <c r="B119" s="41" t="s">
        <v>56</v>
      </c>
      <c r="C119" s="123">
        <v>481</v>
      </c>
      <c r="D119" s="123">
        <v>364.5</v>
      </c>
      <c r="E119" s="123">
        <v>371.5</v>
      </c>
      <c r="F119" s="123">
        <v>216</v>
      </c>
      <c r="G119" s="123">
        <v>116</v>
      </c>
      <c r="H119" s="123">
        <v>69.8</v>
      </c>
      <c r="I119" s="123">
        <v>39.299999999999997</v>
      </c>
      <c r="J119" s="123">
        <v>38.200000000000003</v>
      </c>
      <c r="K119" s="123">
        <v>38.85</v>
      </c>
      <c r="L119" s="123">
        <v>42.4</v>
      </c>
      <c r="M119" s="123">
        <v>50.9</v>
      </c>
      <c r="N119" s="123">
        <v>57.95</v>
      </c>
      <c r="O119" s="123">
        <v>45</v>
      </c>
      <c r="P119" s="123">
        <v>48.7</v>
      </c>
      <c r="Q119" s="123">
        <v>61</v>
      </c>
      <c r="R119" s="123">
        <v>92.7</v>
      </c>
      <c r="S119" s="109"/>
      <c r="T119" s="100" t="str">
        <f>'50% Exceedance Baseline'!T119</f>
        <v>Median flow data at S-110 gage (2002-2016)</v>
      </c>
    </row>
    <row r="120" spans="2:22" x14ac:dyDescent="0.25">
      <c r="B120" s="47" t="s">
        <v>40</v>
      </c>
      <c r="C120" s="48">
        <f>C119+C117</f>
        <v>481</v>
      </c>
      <c r="D120" s="48">
        <f t="shared" ref="D120:E120" si="66">D119+D117</f>
        <v>364.5</v>
      </c>
      <c r="E120" s="48">
        <f t="shared" si="66"/>
        <v>371.5</v>
      </c>
      <c r="F120" s="48">
        <f>F119+F117</f>
        <v>279.45736541999997</v>
      </c>
      <c r="G120" s="48">
        <f t="shared" ref="G120:H120" si="67">G119+G117</f>
        <v>231.83594618000001</v>
      </c>
      <c r="H120" s="48">
        <f t="shared" si="67"/>
        <v>135.56939641999998</v>
      </c>
      <c r="I120" s="48">
        <f>I119+I117</f>
        <v>90.474097864960001</v>
      </c>
      <c r="J120" s="48">
        <f t="shared" ref="J120:N120" si="68">J119+J117</f>
        <v>88.653335923200004</v>
      </c>
      <c r="K120" s="48">
        <f t="shared" si="68"/>
        <v>107.23900888365</v>
      </c>
      <c r="L120" s="48">
        <f t="shared" si="68"/>
        <v>100.93113372925001</v>
      </c>
      <c r="M120" s="48">
        <f t="shared" si="68"/>
        <v>93.946797510695006</v>
      </c>
      <c r="N120" s="48">
        <f t="shared" si="68"/>
        <v>101.63928702577999</v>
      </c>
      <c r="O120" s="48">
        <f>O119+O117</f>
        <v>91.71504354999999</v>
      </c>
      <c r="P120" s="48">
        <f>P119+P117</f>
        <v>97.283645291999989</v>
      </c>
      <c r="Q120" s="48">
        <f>Q119+Q117</f>
        <v>97.871820435268006</v>
      </c>
      <c r="R120" s="49">
        <f>R119+R117</f>
        <v>118.898398730322</v>
      </c>
      <c r="S120" s="111"/>
      <c r="T120" s="100" t="str">
        <f>'50% Exceedance Baseline'!T120</f>
        <v>Flow gage data plus cumulative inputs adjusted for streambed loss or gain</v>
      </c>
    </row>
    <row r="121" spans="2:22" x14ac:dyDescent="0.25">
      <c r="B121" s="10" t="s">
        <v>8</v>
      </c>
      <c r="C121" s="8">
        <f>$C$16</f>
        <v>150</v>
      </c>
      <c r="D121" s="8">
        <f>$D$16</f>
        <v>150</v>
      </c>
      <c r="E121" s="8">
        <f>$E$16</f>
        <v>150</v>
      </c>
      <c r="F121" s="8">
        <f>$F$16</f>
        <v>150</v>
      </c>
      <c r="G121" s="8">
        <f>$G$16</f>
        <v>150</v>
      </c>
      <c r="H121" s="8">
        <f>$H$16</f>
        <v>100</v>
      </c>
      <c r="I121" s="8">
        <f>$I$16</f>
        <v>65</v>
      </c>
      <c r="J121" s="8">
        <f>$J$16</f>
        <v>65</v>
      </c>
      <c r="K121" s="8">
        <f>$K$16</f>
        <v>65</v>
      </c>
      <c r="L121" s="8">
        <f>$L$16</f>
        <v>65</v>
      </c>
      <c r="M121" s="8">
        <f>$M$16</f>
        <v>65</v>
      </c>
      <c r="N121" s="8">
        <f>$N$16</f>
        <v>65</v>
      </c>
      <c r="O121" s="8">
        <f>$O$16</f>
        <v>65</v>
      </c>
      <c r="P121" s="8">
        <f>$P$16</f>
        <v>65</v>
      </c>
      <c r="Q121" s="8">
        <f>$Q$16</f>
        <v>65</v>
      </c>
      <c r="R121" s="9">
        <f>$R$16</f>
        <v>65</v>
      </c>
      <c r="S121" s="112"/>
      <c r="T121" s="100" t="str">
        <f>'50% Exceedance Baseline'!T121</f>
        <v>Target flows</v>
      </c>
    </row>
    <row r="122" spans="2:22" ht="15.75" thickBot="1" x14ac:dyDescent="0.3">
      <c r="B122" s="37" t="s">
        <v>14</v>
      </c>
      <c r="C122" s="38">
        <f>IF(C120&gt;C121,0,(C121-C120)*-1)</f>
        <v>0</v>
      </c>
      <c r="D122" s="38">
        <f t="shared" ref="D122:E122" si="69">IF(D120&gt;D121,0,(D121-D120)*-1)</f>
        <v>0</v>
      </c>
      <c r="E122" s="38">
        <f t="shared" si="69"/>
        <v>0</v>
      </c>
      <c r="F122" s="38">
        <f>IF(F120&gt;F121,0,(F121-F120)*-1)</f>
        <v>0</v>
      </c>
      <c r="G122" s="38">
        <f t="shared" ref="G122:N122" si="70">IF(G120&gt;G121,0,(G121-G120)*-1)</f>
        <v>0</v>
      </c>
      <c r="H122" s="38">
        <f>IF(H120&gt;H121,0,(H121-H120)*-1)</f>
        <v>0</v>
      </c>
      <c r="I122" s="38">
        <f t="shared" si="70"/>
        <v>0</v>
      </c>
      <c r="J122" s="38">
        <f t="shared" si="70"/>
        <v>0</v>
      </c>
      <c r="K122" s="38">
        <f t="shared" si="70"/>
        <v>0</v>
      </c>
      <c r="L122" s="38">
        <f t="shared" si="70"/>
        <v>0</v>
      </c>
      <c r="M122" s="38">
        <f t="shared" si="70"/>
        <v>0</v>
      </c>
      <c r="N122" s="38">
        <f t="shared" si="70"/>
        <v>0</v>
      </c>
      <c r="O122" s="38">
        <f>IF(O120&gt;O121,0,(O121-O120)*-1)</f>
        <v>0</v>
      </c>
      <c r="P122" s="38">
        <f>IF(P120&gt;P121,0,(P121-P120)*-1)</f>
        <v>0</v>
      </c>
      <c r="Q122" s="38">
        <f>IF(Q120&gt;Q121,0,(Q121-Q120)*-1)</f>
        <v>0</v>
      </c>
      <c r="R122" s="39">
        <f>IF(R120&gt;R121,0,(R121-R120)*-1)</f>
        <v>0</v>
      </c>
      <c r="S122" s="105"/>
      <c r="T122" s="100" t="str">
        <f>'50% Exceedance Baseline'!T122</f>
        <v>Deficit between target flows and flow gage data plus total adjusted inputs</v>
      </c>
    </row>
    <row r="123" spans="2:22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115"/>
    </row>
    <row r="124" spans="2:22" x14ac:dyDescent="0.25">
      <c r="B124" s="86" t="s">
        <v>18</v>
      </c>
      <c r="C124" s="99">
        <f>'50% Exceedance Baseline'!C124</f>
        <v>30</v>
      </c>
      <c r="D124" s="99">
        <f>'50% Exceedance Baseline'!D124</f>
        <v>30</v>
      </c>
      <c r="E124" s="99">
        <f>'50% Exceedance Baseline'!E124</f>
        <v>30</v>
      </c>
      <c r="F124" s="99">
        <f>'50% Exceedance Baseline'!F124</f>
        <v>30</v>
      </c>
      <c r="G124" s="99">
        <f>'50% Exceedance Baseline'!G124</f>
        <v>30</v>
      </c>
      <c r="H124" s="99">
        <f>'50% Exceedance Baseline'!H124</f>
        <v>30</v>
      </c>
      <c r="I124" s="99">
        <f>'50% Exceedance Baseline'!I124</f>
        <v>18</v>
      </c>
      <c r="J124" s="99">
        <f>'50% Exceedance Baseline'!J124</f>
        <v>22</v>
      </c>
      <c r="K124" s="99">
        <f>'50% Exceedance Baseline'!K124</f>
        <v>22</v>
      </c>
      <c r="L124" s="99">
        <f>'50% Exceedance Baseline'!L124</f>
        <v>22</v>
      </c>
      <c r="M124" s="99">
        <f>'50% Exceedance Baseline'!M124</f>
        <v>25</v>
      </c>
      <c r="N124" s="99">
        <f>'50% Exceedance Baseline'!N124</f>
        <v>25</v>
      </c>
      <c r="O124" s="99">
        <f>'50% Exceedance Baseline'!O124</f>
        <v>0</v>
      </c>
      <c r="P124" s="99">
        <f>'50% Exceedance Baseline'!P124</f>
        <v>0</v>
      </c>
      <c r="Q124" s="99">
        <f>'50% Exceedance Baseline'!Q124</f>
        <v>30</v>
      </c>
      <c r="R124" s="99">
        <f>'50% Exceedance Baseline'!R124</f>
        <v>30</v>
      </c>
      <c r="S124" s="116"/>
    </row>
    <row r="125" spans="2:22" x14ac:dyDescent="0.25">
      <c r="B125" s="86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117"/>
    </row>
    <row r="126" spans="2:22" ht="15.75" thickBot="1" x14ac:dyDescent="0.3">
      <c r="B126" s="65" t="s">
        <v>66</v>
      </c>
      <c r="C126" s="140">
        <f>IF(C127&gt;0,2,0)</f>
        <v>0</v>
      </c>
      <c r="D126" s="140">
        <f t="shared" ref="D126:R126" si="71">IF(D127&gt;0,2,0)</f>
        <v>0</v>
      </c>
      <c r="E126" s="140">
        <f t="shared" si="71"/>
        <v>0</v>
      </c>
      <c r="F126" s="140">
        <f t="shared" si="71"/>
        <v>2</v>
      </c>
      <c r="G126" s="140">
        <f t="shared" si="71"/>
        <v>2</v>
      </c>
      <c r="H126" s="140">
        <f t="shared" si="71"/>
        <v>2</v>
      </c>
      <c r="I126" s="140">
        <f t="shared" si="71"/>
        <v>2</v>
      </c>
      <c r="J126" s="140">
        <f t="shared" si="71"/>
        <v>2</v>
      </c>
      <c r="K126" s="140">
        <f t="shared" si="71"/>
        <v>2</v>
      </c>
      <c r="L126" s="140">
        <f t="shared" si="71"/>
        <v>2</v>
      </c>
      <c r="M126" s="140">
        <f t="shared" si="71"/>
        <v>2</v>
      </c>
      <c r="N126" s="140">
        <f t="shared" si="71"/>
        <v>2</v>
      </c>
      <c r="O126" s="140">
        <f t="shared" si="71"/>
        <v>2</v>
      </c>
      <c r="P126" s="140">
        <f t="shared" si="71"/>
        <v>2</v>
      </c>
      <c r="Q126" s="140">
        <f t="shared" si="71"/>
        <v>2</v>
      </c>
      <c r="R126" s="140">
        <f t="shared" si="71"/>
        <v>0</v>
      </c>
      <c r="S126" s="27"/>
      <c r="T126" s="101" t="s">
        <v>118</v>
      </c>
      <c r="U126" s="139">
        <f>SUM(C126:R126)*15*1.9835</f>
        <v>714.06000000000006</v>
      </c>
      <c r="V126" s="11" t="s">
        <v>124</v>
      </c>
    </row>
    <row r="127" spans="2:22" ht="15.75" thickBot="1" x14ac:dyDescent="0.3">
      <c r="B127" s="72" t="s">
        <v>113</v>
      </c>
      <c r="C127" s="46">
        <v>0</v>
      </c>
      <c r="D127" s="46">
        <v>0</v>
      </c>
      <c r="E127" s="46">
        <v>0</v>
      </c>
      <c r="F127" s="46">
        <v>30</v>
      </c>
      <c r="G127" s="46">
        <v>30</v>
      </c>
      <c r="H127" s="46">
        <v>30</v>
      </c>
      <c r="I127" s="46">
        <v>4</v>
      </c>
      <c r="J127" s="46">
        <v>6</v>
      </c>
      <c r="K127" s="46">
        <v>22</v>
      </c>
      <c r="L127" s="46">
        <v>22</v>
      </c>
      <c r="M127" s="46">
        <v>3</v>
      </c>
      <c r="N127" s="46">
        <v>1</v>
      </c>
      <c r="O127" s="46">
        <v>4</v>
      </c>
      <c r="P127" s="46">
        <v>3</v>
      </c>
      <c r="Q127" s="46">
        <v>1</v>
      </c>
      <c r="R127" s="46">
        <v>0</v>
      </c>
      <c r="S127" s="105"/>
      <c r="T127" s="100" t="str">
        <f>'50% Exceedance Baseline'!T127</f>
        <v>Flow input between Mgt. Pt. 5 and Mgt. Pt. 6</v>
      </c>
    </row>
    <row r="128" spans="2:22" x14ac:dyDescent="0.25">
      <c r="B128" s="79" t="s">
        <v>7</v>
      </c>
      <c r="C128" s="16">
        <f>IF(C142&gt;C141,((C142-C141)*-1),((C141-C142)))</f>
        <v>158.56458739999999</v>
      </c>
      <c r="D128" s="16">
        <f t="shared" ref="D128:E128" si="72">IF(D142&gt;D141,((D142-D141)*-1),((D141-D142)))</f>
        <v>38.865621000000004</v>
      </c>
      <c r="E128" s="16">
        <f t="shared" si="72"/>
        <v>11.087229799999989</v>
      </c>
      <c r="F128" s="16">
        <f>IF(F142&gt;F141,((F142-F141)*-1),((F141-F142)))</f>
        <v>0.90599504907999062</v>
      </c>
      <c r="G128" s="16">
        <f>IF(G142&gt;G141,((G142-G141)*-1),((G141-G142)))</f>
        <v>1.3853509320000512E-2</v>
      </c>
      <c r="H128" s="16">
        <f t="shared" ref="H128:R128" si="73">IF(H142&gt;H141,((H142-H141)*-1),((H141-H142)))</f>
        <v>0.6741403250799749</v>
      </c>
      <c r="I128" s="16">
        <f t="shared" si="73"/>
        <v>0.18523936047104428</v>
      </c>
      <c r="J128" s="16">
        <f t="shared" si="73"/>
        <v>0.7988124191968069</v>
      </c>
      <c r="K128" s="16">
        <f t="shared" si="73"/>
        <v>30.041414360678161</v>
      </c>
      <c r="L128" s="16">
        <f t="shared" si="73"/>
        <v>20.571551081931759</v>
      </c>
      <c r="M128" s="16">
        <f t="shared" si="73"/>
        <v>1.1129534524570488</v>
      </c>
      <c r="N128" s="16">
        <f t="shared" si="73"/>
        <v>7.1582491001180415E-2</v>
      </c>
      <c r="O128" s="16">
        <f t="shared" si="73"/>
        <v>0.83807865504999768</v>
      </c>
      <c r="P128" s="16">
        <f t="shared" si="73"/>
        <v>0.62191423685199254</v>
      </c>
      <c r="Q128" s="16">
        <f t="shared" si="73"/>
        <v>0.5299980852345243</v>
      </c>
      <c r="R128" s="14">
        <f t="shared" si="73"/>
        <v>19.643966277929792</v>
      </c>
      <c r="S128" s="18"/>
      <c r="T128" s="100" t="str">
        <f>'50% Exceedance Baseline'!T128</f>
        <v>Flow target surplus or deficit after input</v>
      </c>
    </row>
    <row r="129" spans="2:21" ht="15.75" thickBot="1" x14ac:dyDescent="0.3">
      <c r="B129" s="135" t="s">
        <v>115</v>
      </c>
      <c r="C129" s="136">
        <f t="shared" ref="C129:R129" si="74">C127*15*1.9835</f>
        <v>0</v>
      </c>
      <c r="D129" s="136">
        <f t="shared" si="74"/>
        <v>0</v>
      </c>
      <c r="E129" s="136">
        <f t="shared" si="74"/>
        <v>0</v>
      </c>
      <c r="F129" s="136">
        <f t="shared" si="74"/>
        <v>892.57500000000005</v>
      </c>
      <c r="G129" s="136">
        <f>G127*15*1.9835</f>
        <v>892.57500000000005</v>
      </c>
      <c r="H129" s="136">
        <f t="shared" si="74"/>
        <v>892.57500000000005</v>
      </c>
      <c r="I129" s="136">
        <f>I127*15*1.9835</f>
        <v>119.01</v>
      </c>
      <c r="J129" s="136">
        <f t="shared" si="74"/>
        <v>178.51500000000001</v>
      </c>
      <c r="K129" s="136">
        <f t="shared" si="74"/>
        <v>654.55500000000006</v>
      </c>
      <c r="L129" s="136">
        <f t="shared" si="74"/>
        <v>654.55500000000006</v>
      </c>
      <c r="M129" s="136">
        <f t="shared" si="74"/>
        <v>89.257500000000007</v>
      </c>
      <c r="N129" s="136">
        <f t="shared" si="74"/>
        <v>29.752500000000001</v>
      </c>
      <c r="O129" s="136">
        <f t="shared" si="74"/>
        <v>119.01</v>
      </c>
      <c r="P129" s="136">
        <f t="shared" si="74"/>
        <v>89.257500000000007</v>
      </c>
      <c r="Q129" s="136">
        <f t="shared" si="74"/>
        <v>29.752500000000001</v>
      </c>
      <c r="R129" s="137">
        <f t="shared" si="74"/>
        <v>0</v>
      </c>
      <c r="S129" s="136"/>
      <c r="T129" s="101" t="s">
        <v>118</v>
      </c>
      <c r="U129" s="139">
        <f>SUM(C129:R129)</f>
        <v>4641.3899999999994</v>
      </c>
    </row>
    <row r="130" spans="2:21" ht="15.75" thickBot="1" x14ac:dyDescent="0.3">
      <c r="B130" s="73" t="s">
        <v>6</v>
      </c>
      <c r="C130" s="46">
        <v>0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121">
        <v>0</v>
      </c>
      <c r="R130" s="46">
        <v>0</v>
      </c>
      <c r="S130" s="105"/>
      <c r="T130" s="100" t="str">
        <f>'50% Exceedance Baseline'!T130</f>
        <v>Flow input between Mgt. Pt. 5 and Mgt. Pt. 6</v>
      </c>
    </row>
    <row r="131" spans="2:21" x14ac:dyDescent="0.25">
      <c r="B131" s="79" t="s">
        <v>7</v>
      </c>
      <c r="C131" s="16">
        <f>IF(C142&gt;C141,((C142-C141)*-1),((C141-C142)))</f>
        <v>158.56458739999999</v>
      </c>
      <c r="D131" s="16">
        <f t="shared" ref="D131:R131" si="75">IF(D142&gt;D141,((D142-D141)*-1),((D141-D142)))</f>
        <v>38.865621000000004</v>
      </c>
      <c r="E131" s="16">
        <f t="shared" si="75"/>
        <v>11.087229799999989</v>
      </c>
      <c r="F131" s="16">
        <f t="shared" si="75"/>
        <v>0.90599504907999062</v>
      </c>
      <c r="G131" s="16">
        <f t="shared" si="75"/>
        <v>1.3853509320000512E-2</v>
      </c>
      <c r="H131" s="16">
        <f t="shared" si="75"/>
        <v>0.6741403250799749</v>
      </c>
      <c r="I131" s="16">
        <f t="shared" si="75"/>
        <v>0.18523936047104428</v>
      </c>
      <c r="J131" s="16">
        <f t="shared" si="75"/>
        <v>0.7988124191968069</v>
      </c>
      <c r="K131" s="16">
        <f t="shared" si="75"/>
        <v>30.041414360678161</v>
      </c>
      <c r="L131" s="16">
        <f t="shared" si="75"/>
        <v>20.571551081931759</v>
      </c>
      <c r="M131" s="16">
        <f t="shared" si="75"/>
        <v>1.1129534524570488</v>
      </c>
      <c r="N131" s="16">
        <f t="shared" si="75"/>
        <v>7.1582491001180415E-2</v>
      </c>
      <c r="O131" s="16">
        <f t="shared" si="75"/>
        <v>0.83807865504999768</v>
      </c>
      <c r="P131" s="16">
        <f t="shared" si="75"/>
        <v>0.62191423685199254</v>
      </c>
      <c r="Q131" s="16">
        <f t="shared" si="75"/>
        <v>0.5299980852345243</v>
      </c>
      <c r="R131" s="14">
        <f t="shared" si="75"/>
        <v>19.643966277929792</v>
      </c>
      <c r="S131" s="18"/>
      <c r="T131" s="100" t="str">
        <f>'50% Exceedance Baseline'!T131</f>
        <v>Flow target surplus or deficit after input</v>
      </c>
    </row>
    <row r="132" spans="2:21" s="138" customFormat="1" ht="15.75" thickBot="1" x14ac:dyDescent="0.3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7"/>
      <c r="S132" s="136"/>
      <c r="T132" s="101"/>
      <c r="U132" s="139"/>
    </row>
    <row r="133" spans="2:21" ht="15.75" thickBot="1" x14ac:dyDescent="0.3">
      <c r="B133" s="73" t="s">
        <v>60</v>
      </c>
      <c r="C133" s="46">
        <v>0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121">
        <v>0</v>
      </c>
      <c r="R133" s="46">
        <v>0</v>
      </c>
      <c r="S133" s="105"/>
      <c r="T133" s="100" t="str">
        <f>'50% Exceedance Baseline'!T133</f>
        <v>Flow input between Mgt. Pt. 5 and Mgt. Pt. 6</v>
      </c>
    </row>
    <row r="134" spans="2:21" x14ac:dyDescent="0.25">
      <c r="B134" s="79" t="s">
        <v>7</v>
      </c>
      <c r="C134" s="16">
        <f>IF(C142&gt;C141,((C142-C141)*-1),((C141-C142)))</f>
        <v>158.56458739999999</v>
      </c>
      <c r="D134" s="16">
        <f t="shared" ref="D134:R134" si="76">IF(D142&gt;D141,((D142-D141)*-1),((D141-D142)))</f>
        <v>38.865621000000004</v>
      </c>
      <c r="E134" s="16">
        <f>IF(E142&gt;E141,((E142-E141)*-1),((E141-E142)))</f>
        <v>11.087229799999989</v>
      </c>
      <c r="F134" s="16">
        <f t="shared" si="76"/>
        <v>0.90599504907999062</v>
      </c>
      <c r="G134" s="16">
        <f t="shared" si="76"/>
        <v>1.3853509320000512E-2</v>
      </c>
      <c r="H134" s="16">
        <f t="shared" si="76"/>
        <v>0.6741403250799749</v>
      </c>
      <c r="I134" s="16">
        <f t="shared" si="76"/>
        <v>0.18523936047104428</v>
      </c>
      <c r="J134" s="16">
        <f t="shared" si="76"/>
        <v>0.7988124191968069</v>
      </c>
      <c r="K134" s="16">
        <f t="shared" si="76"/>
        <v>30.041414360678161</v>
      </c>
      <c r="L134" s="16">
        <f t="shared" si="76"/>
        <v>20.571551081931759</v>
      </c>
      <c r="M134" s="16">
        <f t="shared" si="76"/>
        <v>1.1129534524570488</v>
      </c>
      <c r="N134" s="16">
        <f t="shared" si="76"/>
        <v>7.1582491001180415E-2</v>
      </c>
      <c r="O134" s="16">
        <f t="shared" si="76"/>
        <v>0.83807865504999768</v>
      </c>
      <c r="P134" s="16">
        <f t="shared" si="76"/>
        <v>0.62191423685199254</v>
      </c>
      <c r="Q134" s="16">
        <f t="shared" si="76"/>
        <v>0.5299980852345243</v>
      </c>
      <c r="R134" s="14">
        <f t="shared" si="76"/>
        <v>19.643966277929792</v>
      </c>
      <c r="S134" s="18"/>
      <c r="T134" s="100" t="str">
        <f>'50% Exceedance Baseline'!T134</f>
        <v>Flow target surplus or deficit after input</v>
      </c>
    </row>
    <row r="135" spans="2:21" s="32" customFormat="1" x14ac:dyDescent="0.25">
      <c r="B135" s="81" t="s">
        <v>25</v>
      </c>
      <c r="C135" s="18">
        <f t="shared" ref="C135:F135" si="77">SUM(C127+C130+C133)</f>
        <v>0</v>
      </c>
      <c r="D135" s="18">
        <f t="shared" si="77"/>
        <v>0</v>
      </c>
      <c r="E135" s="18">
        <f t="shared" si="77"/>
        <v>0</v>
      </c>
      <c r="F135" s="18">
        <f t="shared" si="77"/>
        <v>30</v>
      </c>
      <c r="G135" s="18">
        <f>SUM(G127+G130+G133)</f>
        <v>30</v>
      </c>
      <c r="H135" s="18">
        <f t="shared" ref="H135:N135" si="78">SUM(H127+H130+H133)</f>
        <v>30</v>
      </c>
      <c r="I135" s="18">
        <f t="shared" si="78"/>
        <v>4</v>
      </c>
      <c r="J135" s="18">
        <f t="shared" si="78"/>
        <v>6</v>
      </c>
      <c r="K135" s="18">
        <f t="shared" si="78"/>
        <v>22</v>
      </c>
      <c r="L135" s="18">
        <f t="shared" si="78"/>
        <v>22</v>
      </c>
      <c r="M135" s="18">
        <f t="shared" si="78"/>
        <v>3</v>
      </c>
      <c r="N135" s="18">
        <f t="shared" si="78"/>
        <v>1</v>
      </c>
      <c r="O135" s="18">
        <f>SUM(O127+O130+O133)</f>
        <v>4</v>
      </c>
      <c r="P135" s="18">
        <f>SUM(P127+P130+P133)</f>
        <v>3</v>
      </c>
      <c r="Q135" s="18">
        <f>SUM(Q127+Q130+Q133)</f>
        <v>1</v>
      </c>
      <c r="R135" s="17">
        <f>SUM(R127+R130+R133)</f>
        <v>0</v>
      </c>
      <c r="S135" s="18"/>
      <c r="T135" s="100" t="str">
        <f>'50% Exceedance Baseline'!T135</f>
        <v>Subtotal of all inputs in Detour Road to McDonald Road reach</v>
      </c>
      <c r="U135" s="31"/>
    </row>
    <row r="136" spans="2:21" s="26" customFormat="1" ht="15.75" thickBot="1" x14ac:dyDescent="0.3">
      <c r="B136" s="80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7"/>
      <c r="S136" s="18"/>
      <c r="T136" s="100"/>
      <c r="U136" s="25"/>
    </row>
    <row r="137" spans="2:21" s="64" customFormat="1" ht="15.75" thickBot="1" x14ac:dyDescent="0.3">
      <c r="B137" s="70" t="s">
        <v>69</v>
      </c>
      <c r="C137" s="69">
        <f>'50% Exceedance Baseline'!C137</f>
        <v>-2.5999999999999999E-2</v>
      </c>
      <c r="D137" s="69">
        <f>'50% Exceedance Baseline'!D137</f>
        <v>-2.5999999999999999E-2</v>
      </c>
      <c r="E137" s="69">
        <f>'50% Exceedance Baseline'!E137</f>
        <v>-2.5999999999999999E-2</v>
      </c>
      <c r="F137" s="69">
        <f>'50% Exceedance Baseline'!F137</f>
        <v>-2.5999999999999999E-2</v>
      </c>
      <c r="G137" s="69">
        <f>'50% Exceedance Baseline'!G137</f>
        <v>-2.5999999999999999E-2</v>
      </c>
      <c r="H137" s="69">
        <f>'50% Exceedance Baseline'!H137</f>
        <v>-2.5999999999999999E-2</v>
      </c>
      <c r="I137" s="69">
        <f>'50% Exceedance Baseline'!I137</f>
        <v>-2.5999999999999999E-2</v>
      </c>
      <c r="J137" s="69">
        <f>'50% Exceedance Baseline'!J137</f>
        <v>-2.5999999999999999E-2</v>
      </c>
      <c r="K137" s="69">
        <f>'50% Exceedance Baseline'!K137</f>
        <v>-6.9000000000000006E-2</v>
      </c>
      <c r="L137" s="69">
        <f>'50% Exceedance Baseline'!L137</f>
        <v>-6.9000000000000006E-2</v>
      </c>
      <c r="M137" s="69">
        <f>'50% Exceedance Baseline'!M137</f>
        <v>-6.9000000000000006E-2</v>
      </c>
      <c r="N137" s="69">
        <f>'50% Exceedance Baseline'!N137</f>
        <v>-6.9000000000000006E-2</v>
      </c>
      <c r="O137" s="69">
        <f>'50% Exceedance Baseline'!O137</f>
        <v>-6.9000000000000006E-2</v>
      </c>
      <c r="P137" s="69">
        <f>'50% Exceedance Baseline'!P137</f>
        <v>-6.9000000000000006E-2</v>
      </c>
      <c r="Q137" s="69">
        <f>'50% Exceedance Baseline'!Q137</f>
        <v>-6.9000000000000006E-2</v>
      </c>
      <c r="R137" s="69">
        <f>'50% Exceedance Baseline'!R137</f>
        <v>-6.9000000000000006E-2</v>
      </c>
      <c r="S137" s="107"/>
      <c r="T137" s="100" t="str">
        <f>'50% Exceedance Baseline'!T137</f>
        <v>Percentage total inputs lost or gained due to streambed hydrology (2002-2015 WWBWC seepage data); estimated current rates reduced by 10% to reflect assumed seepage reductions from future projects</v>
      </c>
      <c r="U137" s="83"/>
    </row>
    <row r="138" spans="2:21" s="26" customFormat="1" x14ac:dyDescent="0.25">
      <c r="B138" s="84" t="s">
        <v>20</v>
      </c>
      <c r="C138" s="57">
        <f>SUM(C135+C117)*(1+C137)</f>
        <v>0</v>
      </c>
      <c r="D138" s="57">
        <f t="shared" ref="D138:N138" si="79">SUM(D135+D117)*(1+D137)</f>
        <v>0</v>
      </c>
      <c r="E138" s="57">
        <f t="shared" si="79"/>
        <v>0</v>
      </c>
      <c r="F138" s="57">
        <f t="shared" si="79"/>
        <v>91.027473919079981</v>
      </c>
      <c r="G138" s="57">
        <f t="shared" si="79"/>
        <v>142.04421157932001</v>
      </c>
      <c r="H138" s="57">
        <f t="shared" si="79"/>
        <v>93.279392113079979</v>
      </c>
      <c r="I138" s="57">
        <f t="shared" si="79"/>
        <v>53.739571320471043</v>
      </c>
      <c r="J138" s="57">
        <f t="shared" si="79"/>
        <v>54.985549189196803</v>
      </c>
      <c r="K138" s="57">
        <f t="shared" si="79"/>
        <v>84.152167270678163</v>
      </c>
      <c r="L138" s="57">
        <f t="shared" si="79"/>
        <v>74.974485501931753</v>
      </c>
      <c r="M138" s="57">
        <f t="shared" si="79"/>
        <v>42.869568482457048</v>
      </c>
      <c r="N138" s="57">
        <f t="shared" si="79"/>
        <v>41.605726221001177</v>
      </c>
      <c r="O138" s="57">
        <f>SUM(O135+O117)*(1+O137)</f>
        <v>47.215705545049993</v>
      </c>
      <c r="P138" s="122">
        <f>SUM(P135+P117)*(1+P137)</f>
        <v>48.024373766851994</v>
      </c>
      <c r="Q138" s="57">
        <f>SUM(Q135+Q117)*(1+Q137)</f>
        <v>35.258664825234519</v>
      </c>
      <c r="R138" s="68">
        <f>SUM(R135+R117)*(1+R137)</f>
        <v>24.390709217929786</v>
      </c>
      <c r="S138" s="110"/>
      <c r="T138" s="100" t="str">
        <f>'50% Exceedance Baseline'!T138</f>
        <v>Total of all upstream input flow adjusted for streambed loss or gain</v>
      </c>
      <c r="U138" s="25"/>
    </row>
    <row r="139" spans="2:21" ht="15.75" thickBot="1" x14ac:dyDescent="0.3">
      <c r="B139" s="71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3"/>
      <c r="S139" s="110"/>
    </row>
    <row r="140" spans="2:21" ht="15.75" thickBot="1" x14ac:dyDescent="0.3">
      <c r="B140" s="42" t="s">
        <v>57</v>
      </c>
      <c r="C140" s="123">
        <f>'50% Exceedance Baseline'!C140</f>
        <v>308.56458739999999</v>
      </c>
      <c r="D140" s="123">
        <f>'50% Exceedance Baseline'!D140</f>
        <v>188.865621</v>
      </c>
      <c r="E140" s="123">
        <f>'50% Exceedance Baseline'!E140</f>
        <v>161.08722979999999</v>
      </c>
      <c r="F140" s="123">
        <f>'50% Exceedance Baseline'!F140</f>
        <v>59.878521130000003</v>
      </c>
      <c r="G140" s="123">
        <f>'50% Exceedance Baseline'!G140</f>
        <v>7.9696419299999999</v>
      </c>
      <c r="H140" s="123">
        <f>'50% Exceedance Baseline'!H140</f>
        <v>7.3947482119999997</v>
      </c>
      <c r="I140" s="123">
        <f>'50% Exceedance Baseline'!I140</f>
        <v>11.445668039999999</v>
      </c>
      <c r="J140" s="123">
        <f>'50% Exceedance Baseline'!J140</f>
        <v>10.81326323</v>
      </c>
      <c r="K140" s="123">
        <f>'50% Exceedance Baseline'!K140</f>
        <v>10.88924709</v>
      </c>
      <c r="L140" s="123">
        <f>'50% Exceedance Baseline'!L140</f>
        <v>10.597065580000001</v>
      </c>
      <c r="M140" s="123">
        <f>'50% Exceedance Baseline'!M140</f>
        <v>23.243384970000001</v>
      </c>
      <c r="N140" s="123">
        <f>'50% Exceedance Baseline'!N140</f>
        <v>23.46585627</v>
      </c>
      <c r="O140" s="123">
        <f>'50% Exceedance Baseline'!O140</f>
        <v>18.622373110000002</v>
      </c>
      <c r="P140" s="123">
        <f>'50% Exceedance Baseline'!P140</f>
        <v>17.597540469999998</v>
      </c>
      <c r="Q140" s="123">
        <f>'50% Exceedance Baseline'!Q140</f>
        <v>30.271333259999999</v>
      </c>
      <c r="R140" s="123">
        <f>'50% Exceedance Baseline'!R140</f>
        <v>60.253257060000003</v>
      </c>
      <c r="S140" s="19"/>
      <c r="T140" s="100" t="str">
        <f>'50% Exceedance Baseline'!T140</f>
        <v>Median flow data at S-119 gage (2013-2016)</v>
      </c>
    </row>
    <row r="141" spans="2:21" x14ac:dyDescent="0.25">
      <c r="B141" s="47" t="s">
        <v>41</v>
      </c>
      <c r="C141" s="48">
        <f>C140+C138</f>
        <v>308.56458739999999</v>
      </c>
      <c r="D141" s="48">
        <f t="shared" ref="D141:E141" si="80">D140+D138</f>
        <v>188.865621</v>
      </c>
      <c r="E141" s="48">
        <f t="shared" si="80"/>
        <v>161.08722979999999</v>
      </c>
      <c r="F141" s="48">
        <f>F140+F138</f>
        <v>150.90599504907999</v>
      </c>
      <c r="G141" s="48">
        <f t="shared" ref="G141:H141" si="81">G140+G138</f>
        <v>150.01385350932</v>
      </c>
      <c r="H141" s="48">
        <f t="shared" si="81"/>
        <v>100.67414032507997</v>
      </c>
      <c r="I141" s="48">
        <f>I140+I138</f>
        <v>65.185239360471044</v>
      </c>
      <c r="J141" s="48">
        <f t="shared" ref="J141:N141" si="82">J140+J138</f>
        <v>65.798812419196807</v>
      </c>
      <c r="K141" s="48">
        <f t="shared" si="82"/>
        <v>95.041414360678161</v>
      </c>
      <c r="L141" s="48">
        <f t="shared" si="82"/>
        <v>85.571551081931759</v>
      </c>
      <c r="M141" s="48">
        <f t="shared" si="82"/>
        <v>66.112953452457049</v>
      </c>
      <c r="N141" s="48">
        <f t="shared" si="82"/>
        <v>65.07158249100118</v>
      </c>
      <c r="O141" s="48">
        <f>O140+O138</f>
        <v>65.838078655049998</v>
      </c>
      <c r="P141" s="48">
        <f>P140+P138</f>
        <v>65.621914236851993</v>
      </c>
      <c r="Q141" s="48">
        <f>Q140+Q138</f>
        <v>65.529998085234524</v>
      </c>
      <c r="R141" s="49">
        <f>R140+R138</f>
        <v>84.643966277929792</v>
      </c>
      <c r="S141" s="111"/>
      <c r="T141" s="100" t="str">
        <f>'50% Exceedance Baseline'!T141</f>
        <v>Flow gage data plus cumulative inputs adjusted for streambed loss or gain</v>
      </c>
    </row>
    <row r="142" spans="2:21" x14ac:dyDescent="0.25">
      <c r="B142" s="10" t="s">
        <v>8</v>
      </c>
      <c r="C142" s="8">
        <f>$C$16</f>
        <v>150</v>
      </c>
      <c r="D142" s="8">
        <f>$D$16</f>
        <v>150</v>
      </c>
      <c r="E142" s="8">
        <f>$E$16</f>
        <v>150</v>
      </c>
      <c r="F142" s="8">
        <f>$F$16</f>
        <v>150</v>
      </c>
      <c r="G142" s="8">
        <f>$G$16</f>
        <v>150</v>
      </c>
      <c r="H142" s="8">
        <f>$H$16</f>
        <v>100</v>
      </c>
      <c r="I142" s="8">
        <f>$I$16</f>
        <v>65</v>
      </c>
      <c r="J142" s="8">
        <f>$J$16</f>
        <v>65</v>
      </c>
      <c r="K142" s="8">
        <f>$K$16</f>
        <v>65</v>
      </c>
      <c r="L142" s="8">
        <f>$L$16</f>
        <v>65</v>
      </c>
      <c r="M142" s="8">
        <f>$M$16</f>
        <v>65</v>
      </c>
      <c r="N142" s="8">
        <f>$N$16</f>
        <v>65</v>
      </c>
      <c r="O142" s="8">
        <f>$O$16</f>
        <v>65</v>
      </c>
      <c r="P142" s="8">
        <f>$P$16</f>
        <v>65</v>
      </c>
      <c r="Q142" s="8">
        <f>$Q$16</f>
        <v>65</v>
      </c>
      <c r="R142" s="9">
        <f>$R$16</f>
        <v>65</v>
      </c>
      <c r="S142" s="112"/>
      <c r="T142" s="100" t="str">
        <f>'50% Exceedance Baseline'!T142</f>
        <v>Target flows</v>
      </c>
    </row>
    <row r="143" spans="2:21" ht="15.75" thickBot="1" x14ac:dyDescent="0.3">
      <c r="B143" s="37" t="s">
        <v>15</v>
      </c>
      <c r="C143" s="38">
        <f>IF(C141&gt;C142,0,(C142-C141)*-1)</f>
        <v>0</v>
      </c>
      <c r="D143" s="38">
        <f t="shared" ref="D143:E143" si="83">IF(D141&gt;D142,0,(D142-D141)*-1)</f>
        <v>0</v>
      </c>
      <c r="E143" s="38">
        <f t="shared" si="83"/>
        <v>0</v>
      </c>
      <c r="F143" s="38">
        <f>IF(F141&gt;F142,0,(F142-F141)*-1)</f>
        <v>0</v>
      </c>
      <c r="G143" s="38">
        <f t="shared" ref="G143" si="84">IF(G141&gt;G142,0,(G142-G141)*-1)</f>
        <v>0</v>
      </c>
      <c r="H143" s="38">
        <f>IF(H141&gt;H142,0,(H142-H141)*-1)</f>
        <v>0</v>
      </c>
      <c r="I143" s="38">
        <f t="shared" ref="I143:N143" si="85">IF(I141&gt;I142,0,(I142-I141)*-1)</f>
        <v>0</v>
      </c>
      <c r="J143" s="38">
        <f t="shared" si="85"/>
        <v>0</v>
      </c>
      <c r="K143" s="38">
        <f t="shared" si="85"/>
        <v>0</v>
      </c>
      <c r="L143" s="38">
        <f t="shared" si="85"/>
        <v>0</v>
      </c>
      <c r="M143" s="38">
        <f t="shared" si="85"/>
        <v>0</v>
      </c>
      <c r="N143" s="38">
        <f t="shared" si="85"/>
        <v>0</v>
      </c>
      <c r="O143" s="38">
        <f>IF(O141&gt;O142,0,(O142-O141)*-1)</f>
        <v>0</v>
      </c>
      <c r="P143" s="38">
        <f>IF(P141&gt;P142,0,(P142-P141)*-1)</f>
        <v>0</v>
      </c>
      <c r="Q143" s="38">
        <f>IF(Q141&gt;Q142,0,(Q142-Q141)*-1)</f>
        <v>0</v>
      </c>
      <c r="R143" s="39">
        <f>IF(R141&gt;R142,0,(R142-R141)*-1)</f>
        <v>0</v>
      </c>
      <c r="S143" s="105"/>
      <c r="T143" s="100" t="str">
        <f>'50% Exceedance Baseline'!T143</f>
        <v>Deficit between target flows and flow gage data plus total adjusted inputs</v>
      </c>
    </row>
    <row r="144" spans="2:21" x14ac:dyDescent="0.25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18"/>
    </row>
    <row r="145" spans="2:21" x14ac:dyDescent="0.25">
      <c r="B145" s="35" t="s">
        <v>2</v>
      </c>
      <c r="C145" s="36">
        <f>'50% Exceedance Baseline'!C145</f>
        <v>30</v>
      </c>
      <c r="D145" s="36">
        <f>'50% Exceedance Baseline'!D145</f>
        <v>30</v>
      </c>
      <c r="E145" s="36">
        <f>'50% Exceedance Baseline'!E145</f>
        <v>20</v>
      </c>
      <c r="F145" s="36">
        <f>'50% Exceedance Baseline'!F145</f>
        <v>20</v>
      </c>
      <c r="G145" s="36">
        <f>'50% Exceedance Baseline'!G145</f>
        <v>1</v>
      </c>
      <c r="H145" s="36">
        <f>'50% Exceedance Baseline'!H145</f>
        <v>1</v>
      </c>
      <c r="I145" s="36">
        <f>'50% Exceedance Baseline'!I145</f>
        <v>1</v>
      </c>
      <c r="J145" s="36">
        <f>'50% Exceedance Baseline'!J145</f>
        <v>1</v>
      </c>
      <c r="K145" s="36">
        <f>'50% Exceedance Baseline'!K145</f>
        <v>1</v>
      </c>
      <c r="L145" s="36">
        <f>'50% Exceedance Baseline'!L145</f>
        <v>1</v>
      </c>
      <c r="M145" s="36">
        <f>'50% Exceedance Baseline'!M145</f>
        <v>1</v>
      </c>
      <c r="N145" s="36">
        <f>'50% Exceedance Baseline'!N145</f>
        <v>1</v>
      </c>
      <c r="O145" s="36">
        <f>'50% Exceedance Baseline'!O145</f>
        <v>1</v>
      </c>
      <c r="P145" s="36">
        <f>'50% Exceedance Baseline'!P145</f>
        <v>1</v>
      </c>
      <c r="Q145" s="36">
        <f>'50% Exceedance Baseline'!Q145</f>
        <v>3</v>
      </c>
      <c r="R145" s="36">
        <f>'50% Exceedance Baseline'!R145</f>
        <v>3</v>
      </c>
      <c r="S145" s="66"/>
      <c r="T145" s="100" t="str">
        <f>'50% Exceedance Baseline'!T145</f>
        <v>Estimate</v>
      </c>
    </row>
    <row r="146" spans="2:21" s="12" customFormat="1" x14ac:dyDescent="0.25">
      <c r="B146" s="62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100"/>
      <c r="U146" s="13"/>
    </row>
    <row r="147" spans="2:21" ht="15.75" thickBot="1" x14ac:dyDescent="0.3">
      <c r="B147" s="4" t="s">
        <v>67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18"/>
    </row>
    <row r="148" spans="2:21" ht="15.75" thickBot="1" x14ac:dyDescent="0.3">
      <c r="B148" s="72" t="s">
        <v>5</v>
      </c>
      <c r="C148" s="46">
        <v>0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121">
        <v>0</v>
      </c>
      <c r="R148" s="46">
        <v>0</v>
      </c>
      <c r="S148" s="105"/>
      <c r="T148" s="100" t="str">
        <f>'50% Exceedance Baseline'!T148</f>
        <v>Flow input between Mgt. Pt. 6 and Mgt. Pt. 7</v>
      </c>
    </row>
    <row r="149" spans="2:21" x14ac:dyDescent="0.25">
      <c r="B149" s="79" t="s">
        <v>7</v>
      </c>
      <c r="C149" s="16">
        <f>IF(C163&gt;C162,((C163-C162)*-1),((C162-C163)))</f>
        <v>880</v>
      </c>
      <c r="D149" s="16">
        <f t="shared" ref="D149:E149" si="86">IF(D163&gt;D162,((D163-D162)*-1),((D162-D163)))</f>
        <v>731.5</v>
      </c>
      <c r="E149" s="16">
        <f t="shared" si="86"/>
        <v>614</v>
      </c>
      <c r="F149" s="16">
        <f>IF(F163&gt;F162,((F163-F162)*-1),((F162-F163)))</f>
        <v>504.02747391907997</v>
      </c>
      <c r="G149" s="16">
        <f>IF(G163&gt;G162,((G163-G162)*-1),((G162-G163)))</f>
        <v>268.54421157932001</v>
      </c>
      <c r="H149" s="16">
        <f t="shared" ref="H149:R149" si="87">IF(H163&gt;H162,((H163-H162)*-1),((H162-H163)))</f>
        <v>100.27939211307998</v>
      </c>
      <c r="I149" s="16">
        <f t="shared" si="87"/>
        <v>37.739571320471043</v>
      </c>
      <c r="J149" s="16">
        <f t="shared" si="87"/>
        <v>11.985549189196803</v>
      </c>
      <c r="K149" s="16">
        <f t="shared" si="87"/>
        <v>34.152167270678163</v>
      </c>
      <c r="L149" s="16">
        <f t="shared" si="87"/>
        <v>23.974485501931753</v>
      </c>
      <c r="M149" s="16">
        <f t="shared" si="87"/>
        <v>0.86956848245705487</v>
      </c>
      <c r="N149" s="16">
        <f t="shared" si="87"/>
        <v>16.605726221001177</v>
      </c>
      <c r="O149" s="16">
        <f t="shared" si="87"/>
        <v>30.215705545049985</v>
      </c>
      <c r="P149" s="16">
        <f t="shared" si="87"/>
        <v>44.024373766851994</v>
      </c>
      <c r="Q149" s="16">
        <f t="shared" si="87"/>
        <v>80.258664825234519</v>
      </c>
      <c r="R149" s="14">
        <f t="shared" si="87"/>
        <v>203.39070921792978</v>
      </c>
      <c r="S149" s="18"/>
      <c r="T149" s="100" t="str">
        <f>'50% Exceedance Baseline'!T149</f>
        <v>Flow target surplus or deficit after input</v>
      </c>
    </row>
    <row r="150" spans="2:21" ht="15.75" thickBot="1" x14ac:dyDescent="0.3">
      <c r="B150" s="80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7"/>
      <c r="S150" s="18"/>
    </row>
    <row r="151" spans="2:21" ht="15.75" thickBot="1" x14ac:dyDescent="0.3">
      <c r="B151" s="73" t="s">
        <v>6</v>
      </c>
      <c r="C151" s="46">
        <v>0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121">
        <v>0</v>
      </c>
      <c r="R151" s="46">
        <v>0</v>
      </c>
      <c r="S151" s="105"/>
      <c r="T151" s="100" t="str">
        <f>'50% Exceedance Baseline'!T151</f>
        <v>Flow input between Mgt. Pt. 6 and Mgt. Pt. 7</v>
      </c>
    </row>
    <row r="152" spans="2:21" x14ac:dyDescent="0.25">
      <c r="B152" s="79" t="s">
        <v>7</v>
      </c>
      <c r="C152" s="16">
        <f>IF(C163&gt;C162,((C163-C162)*-1),((C162-C163)))</f>
        <v>880</v>
      </c>
      <c r="D152" s="16">
        <f t="shared" ref="D152:R152" si="88">IF(D163&gt;D162,((D163-D162)*-1),((D162-D163)))</f>
        <v>731.5</v>
      </c>
      <c r="E152" s="16">
        <f t="shared" si="88"/>
        <v>614</v>
      </c>
      <c r="F152" s="16">
        <f t="shared" si="88"/>
        <v>504.02747391907997</v>
      </c>
      <c r="G152" s="16">
        <f t="shared" si="88"/>
        <v>268.54421157932001</v>
      </c>
      <c r="H152" s="16">
        <f t="shared" si="88"/>
        <v>100.27939211307998</v>
      </c>
      <c r="I152" s="16">
        <f t="shared" si="88"/>
        <v>37.739571320471043</v>
      </c>
      <c r="J152" s="16">
        <f t="shared" si="88"/>
        <v>11.985549189196803</v>
      </c>
      <c r="K152" s="16">
        <f t="shared" si="88"/>
        <v>34.152167270678163</v>
      </c>
      <c r="L152" s="16">
        <f t="shared" si="88"/>
        <v>23.974485501931753</v>
      </c>
      <c r="M152" s="16">
        <f t="shared" si="88"/>
        <v>0.86956848245705487</v>
      </c>
      <c r="N152" s="16">
        <f t="shared" si="88"/>
        <v>16.605726221001177</v>
      </c>
      <c r="O152" s="16">
        <f t="shared" si="88"/>
        <v>30.215705545049985</v>
      </c>
      <c r="P152" s="16">
        <f t="shared" si="88"/>
        <v>44.024373766851994</v>
      </c>
      <c r="Q152" s="16">
        <f t="shared" si="88"/>
        <v>80.258664825234519</v>
      </c>
      <c r="R152" s="14">
        <f t="shared" si="88"/>
        <v>203.39070921792978</v>
      </c>
      <c r="S152" s="18"/>
      <c r="T152" s="100" t="str">
        <f>'50% Exceedance Baseline'!T152</f>
        <v>Flow target surplus or deficit after input</v>
      </c>
    </row>
    <row r="153" spans="2:21" s="4" customFormat="1" ht="15.75" thickBot="1" x14ac:dyDescent="0.3">
      <c r="B153" s="80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7"/>
      <c r="S153" s="18"/>
      <c r="T153" s="100"/>
      <c r="U153" s="156"/>
    </row>
    <row r="154" spans="2:21" ht="15.75" thickBot="1" x14ac:dyDescent="0.3">
      <c r="B154" s="73" t="s">
        <v>60</v>
      </c>
      <c r="C154" s="46">
        <v>0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121">
        <v>0</v>
      </c>
      <c r="R154" s="46">
        <v>0</v>
      </c>
      <c r="S154" s="105"/>
      <c r="T154" s="100" t="str">
        <f>'50% Exceedance Baseline'!T154</f>
        <v>Flow input between Mgt. Pt. 6 and Mgt. Pt. 7</v>
      </c>
    </row>
    <row r="155" spans="2:21" x14ac:dyDescent="0.25">
      <c r="B155" s="79" t="s">
        <v>7</v>
      </c>
      <c r="C155" s="16">
        <f>IF(C163&gt;C162,((C163-C162)*-1),((C162-C163)))</f>
        <v>880</v>
      </c>
      <c r="D155" s="16">
        <f t="shared" ref="D155" si="89">IF(D163&gt;D162,((D163-D162)*-1),((D162-D163)))</f>
        <v>731.5</v>
      </c>
      <c r="E155" s="16">
        <f>IF(E163&gt;E162,((E163-E162)*-1),((E162-E163)))</f>
        <v>614</v>
      </c>
      <c r="F155" s="16">
        <f t="shared" ref="F155:R155" si="90">IF(F163&gt;F162,((F163-F162)*-1),((F162-F163)))</f>
        <v>504.02747391907997</v>
      </c>
      <c r="G155" s="16">
        <f t="shared" si="90"/>
        <v>268.54421157932001</v>
      </c>
      <c r="H155" s="16">
        <f t="shared" si="90"/>
        <v>100.27939211307998</v>
      </c>
      <c r="I155" s="16">
        <f t="shared" si="90"/>
        <v>37.739571320471043</v>
      </c>
      <c r="J155" s="16">
        <f t="shared" si="90"/>
        <v>11.985549189196803</v>
      </c>
      <c r="K155" s="16">
        <f t="shared" si="90"/>
        <v>34.152167270678163</v>
      </c>
      <c r="L155" s="16">
        <f t="shared" si="90"/>
        <v>23.974485501931753</v>
      </c>
      <c r="M155" s="16">
        <f t="shared" si="90"/>
        <v>0.86956848245705487</v>
      </c>
      <c r="N155" s="16">
        <f t="shared" si="90"/>
        <v>16.605726221001177</v>
      </c>
      <c r="O155" s="16">
        <f t="shared" si="90"/>
        <v>30.215705545049985</v>
      </c>
      <c r="P155" s="16">
        <f t="shared" si="90"/>
        <v>44.024373766851994</v>
      </c>
      <c r="Q155" s="16">
        <f t="shared" si="90"/>
        <v>80.258664825234519</v>
      </c>
      <c r="R155" s="14">
        <f t="shared" si="90"/>
        <v>203.39070921792978</v>
      </c>
      <c r="S155" s="18"/>
      <c r="T155" s="100" t="str">
        <f>'50% Exceedance Baseline'!T155</f>
        <v>Flow target surplus or deficit after input</v>
      </c>
    </row>
    <row r="156" spans="2:21" s="4" customFormat="1" x14ac:dyDescent="0.25">
      <c r="B156" s="81" t="s">
        <v>26</v>
      </c>
      <c r="C156" s="18">
        <f t="shared" ref="C156:F156" si="91">SUM(C148+C151+C154)</f>
        <v>0</v>
      </c>
      <c r="D156" s="18">
        <f t="shared" si="91"/>
        <v>0</v>
      </c>
      <c r="E156" s="18">
        <f t="shared" si="91"/>
        <v>0</v>
      </c>
      <c r="F156" s="18">
        <f t="shared" si="91"/>
        <v>0</v>
      </c>
      <c r="G156" s="18">
        <f>SUM(G148+G151+G154)</f>
        <v>0</v>
      </c>
      <c r="H156" s="18">
        <f t="shared" ref="H156:N156" si="92">SUM(H148+H151+H154)</f>
        <v>0</v>
      </c>
      <c r="I156" s="18">
        <f t="shared" si="92"/>
        <v>0</v>
      </c>
      <c r="J156" s="18">
        <f t="shared" si="92"/>
        <v>0</v>
      </c>
      <c r="K156" s="18">
        <f t="shared" si="92"/>
        <v>0</v>
      </c>
      <c r="L156" s="18">
        <f t="shared" si="92"/>
        <v>0</v>
      </c>
      <c r="M156" s="18">
        <f t="shared" si="92"/>
        <v>0</v>
      </c>
      <c r="N156" s="18">
        <f t="shared" si="92"/>
        <v>0</v>
      </c>
      <c r="O156" s="18">
        <f>SUM(O148+O151+O154)</f>
        <v>0</v>
      </c>
      <c r="P156" s="18">
        <f>SUM(P148+P151+P154)</f>
        <v>0</v>
      </c>
      <c r="Q156" s="18">
        <f>SUM(Q148+Q151+Q154)</f>
        <v>0</v>
      </c>
      <c r="R156" s="17">
        <f>SUM(R148+R151+R154)</f>
        <v>0</v>
      </c>
      <c r="S156" s="18"/>
      <c r="T156" s="100" t="str">
        <f>'50% Exceedance Baseline'!T156</f>
        <v>Subtotal of all inputs in McDonald Road to Touchet Confluence reach</v>
      </c>
      <c r="U156" s="156"/>
    </row>
    <row r="157" spans="2:21" s="26" customFormat="1" ht="15.75" thickBot="1" x14ac:dyDescent="0.3">
      <c r="B157" s="80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7"/>
      <c r="S157" s="18"/>
      <c r="T157" s="100"/>
      <c r="U157" s="25"/>
    </row>
    <row r="158" spans="2:21" s="64" customFormat="1" ht="15.75" thickBot="1" x14ac:dyDescent="0.3">
      <c r="B158" s="70" t="s">
        <v>69</v>
      </c>
      <c r="C158" s="82">
        <f>'50% Exceedance Baseline'!C158</f>
        <v>0</v>
      </c>
      <c r="D158" s="82">
        <f>'50% Exceedance Baseline'!D158</f>
        <v>0</v>
      </c>
      <c r="E158" s="82">
        <f>'50% Exceedance Baseline'!E158</f>
        <v>0</v>
      </c>
      <c r="F158" s="82">
        <f>'50% Exceedance Baseline'!F158</f>
        <v>0</v>
      </c>
      <c r="G158" s="82">
        <f>'50% Exceedance Baseline'!G158</f>
        <v>0</v>
      </c>
      <c r="H158" s="82">
        <f>'50% Exceedance Baseline'!H158</f>
        <v>0</v>
      </c>
      <c r="I158" s="82">
        <f>'50% Exceedance Baseline'!I158</f>
        <v>0</v>
      </c>
      <c r="J158" s="82">
        <f>'50% Exceedance Baseline'!J158</f>
        <v>0</v>
      </c>
      <c r="K158" s="82">
        <f>'50% Exceedance Baseline'!K158</f>
        <v>0</v>
      </c>
      <c r="L158" s="82">
        <f>'50% Exceedance Baseline'!L158</f>
        <v>0</v>
      </c>
      <c r="M158" s="82">
        <f>'50% Exceedance Baseline'!M158</f>
        <v>0</v>
      </c>
      <c r="N158" s="82">
        <f>'50% Exceedance Baseline'!N158</f>
        <v>0</v>
      </c>
      <c r="O158" s="82">
        <f>'50% Exceedance Baseline'!O158</f>
        <v>0</v>
      </c>
      <c r="P158" s="82">
        <f>'50% Exceedance Baseline'!P158</f>
        <v>0</v>
      </c>
      <c r="Q158" s="82">
        <f>'50% Exceedance Baseline'!Q158</f>
        <v>0</v>
      </c>
      <c r="R158" s="82">
        <f>'50% Exceedance Baseline'!R158</f>
        <v>0</v>
      </c>
      <c r="S158" s="106"/>
      <c r="T158" s="100" t="str">
        <f>'50% Exceedance Baseline'!T158</f>
        <v>Gaining reach, but limited data available; assumed 0% seepage as conservative estimate</v>
      </c>
      <c r="U158" s="83"/>
    </row>
    <row r="159" spans="2:21" x14ac:dyDescent="0.25">
      <c r="B159" s="84" t="s">
        <v>20</v>
      </c>
      <c r="C159" s="57">
        <f>SUM(C156+C138)*(1+C158)</f>
        <v>0</v>
      </c>
      <c r="D159" s="57">
        <f t="shared" ref="D159:N159" si="93">SUM(D156+D138)*(1+D158)</f>
        <v>0</v>
      </c>
      <c r="E159" s="57">
        <f t="shared" si="93"/>
        <v>0</v>
      </c>
      <c r="F159" s="57">
        <f t="shared" si="93"/>
        <v>91.027473919079981</v>
      </c>
      <c r="G159" s="57">
        <f t="shared" si="93"/>
        <v>142.04421157932001</v>
      </c>
      <c r="H159" s="57">
        <f t="shared" si="93"/>
        <v>93.279392113079979</v>
      </c>
      <c r="I159" s="57">
        <f t="shared" si="93"/>
        <v>53.739571320471043</v>
      </c>
      <c r="J159" s="57">
        <f t="shared" si="93"/>
        <v>54.985549189196803</v>
      </c>
      <c r="K159" s="57">
        <f t="shared" si="93"/>
        <v>84.152167270678163</v>
      </c>
      <c r="L159" s="57">
        <f t="shared" si="93"/>
        <v>74.974485501931753</v>
      </c>
      <c r="M159" s="57">
        <f t="shared" si="93"/>
        <v>42.869568482457048</v>
      </c>
      <c r="N159" s="57">
        <f t="shared" si="93"/>
        <v>41.605726221001177</v>
      </c>
      <c r="O159" s="57">
        <f>SUM(O156+O138)*(1+O158)</f>
        <v>47.215705545049993</v>
      </c>
      <c r="P159" s="122">
        <f>SUM(P156+P138)*(1+P158)</f>
        <v>48.024373766851994</v>
      </c>
      <c r="Q159" s="57">
        <f>SUM(Q156+Q138)*(1+Q158)</f>
        <v>35.258664825234519</v>
      </c>
      <c r="R159" s="68">
        <f>SUM(R156+R138)*(1+R158)</f>
        <v>24.390709217929786</v>
      </c>
      <c r="S159" s="110"/>
      <c r="T159" s="100" t="str">
        <f>'50% Exceedance Baseline'!T159</f>
        <v>Total of all upstream input flow adjusted for streambed loss or gain</v>
      </c>
    </row>
    <row r="160" spans="2:21" ht="15.75" thickBot="1" x14ac:dyDescent="0.3">
      <c r="B160" s="71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3"/>
      <c r="S160" s="110"/>
    </row>
    <row r="161" spans="2:20" ht="15.75" thickBot="1" x14ac:dyDescent="0.3">
      <c r="B161" s="24" t="s">
        <v>58</v>
      </c>
      <c r="C161" s="123">
        <f>'50% Exceedance Baseline'!C161</f>
        <v>1030</v>
      </c>
      <c r="D161" s="123">
        <f>'50% Exceedance Baseline'!D161</f>
        <v>881.5</v>
      </c>
      <c r="E161" s="123">
        <f>'50% Exceedance Baseline'!E161</f>
        <v>764</v>
      </c>
      <c r="F161" s="123">
        <f>'50% Exceedance Baseline'!F161</f>
        <v>563</v>
      </c>
      <c r="G161" s="123">
        <f>'50% Exceedance Baseline'!G161</f>
        <v>276.5</v>
      </c>
      <c r="H161" s="123">
        <f>'50% Exceedance Baseline'!H161</f>
        <v>107</v>
      </c>
      <c r="I161" s="123">
        <f>'50% Exceedance Baseline'!I161</f>
        <v>49</v>
      </c>
      <c r="J161" s="123">
        <f>'50% Exceedance Baseline'!J161</f>
        <v>22</v>
      </c>
      <c r="K161" s="123">
        <f>'50% Exceedance Baseline'!K161</f>
        <v>15</v>
      </c>
      <c r="L161" s="123">
        <f>'50% Exceedance Baseline'!L161</f>
        <v>14</v>
      </c>
      <c r="M161" s="123">
        <f>'50% Exceedance Baseline'!M161</f>
        <v>23</v>
      </c>
      <c r="N161" s="123">
        <f>'50% Exceedance Baseline'!N161</f>
        <v>40</v>
      </c>
      <c r="O161" s="123">
        <f>'50% Exceedance Baseline'!O161</f>
        <v>48</v>
      </c>
      <c r="P161" s="123">
        <f>'50% Exceedance Baseline'!P161</f>
        <v>61</v>
      </c>
      <c r="Q161" s="123">
        <f>'50% Exceedance Baseline'!Q161</f>
        <v>110</v>
      </c>
      <c r="R161" s="123">
        <f>'50% Exceedance Baseline'!R161</f>
        <v>244</v>
      </c>
      <c r="S161" s="27"/>
      <c r="T161" s="100" t="str">
        <f>'50% Exceedance Baseline'!T161</f>
        <v>Median flow data at S-111 gage (1951-2016)</v>
      </c>
    </row>
    <row r="162" spans="2:20" x14ac:dyDescent="0.25">
      <c r="B162" s="47" t="s">
        <v>51</v>
      </c>
      <c r="C162" s="48">
        <f>C161+C159</f>
        <v>1030</v>
      </c>
      <c r="D162" s="48">
        <f t="shared" ref="D162:E162" si="94">D161+D159</f>
        <v>881.5</v>
      </c>
      <c r="E162" s="48">
        <f t="shared" si="94"/>
        <v>764</v>
      </c>
      <c r="F162" s="48">
        <f>F161+F159</f>
        <v>654.02747391907997</v>
      </c>
      <c r="G162" s="48">
        <f t="shared" ref="G162:H162" si="95">G161+G159</f>
        <v>418.54421157932001</v>
      </c>
      <c r="H162" s="48">
        <f t="shared" si="95"/>
        <v>200.27939211307998</v>
      </c>
      <c r="I162" s="48">
        <f>I161+I159</f>
        <v>102.73957132047104</v>
      </c>
      <c r="J162" s="48">
        <f t="shared" ref="J162:N162" si="96">J161+J159</f>
        <v>76.985549189196803</v>
      </c>
      <c r="K162" s="48">
        <f t="shared" si="96"/>
        <v>99.152167270678163</v>
      </c>
      <c r="L162" s="48">
        <f t="shared" si="96"/>
        <v>88.974485501931753</v>
      </c>
      <c r="M162" s="48">
        <f t="shared" si="96"/>
        <v>65.869568482457055</v>
      </c>
      <c r="N162" s="48">
        <f t="shared" si="96"/>
        <v>81.605726221001177</v>
      </c>
      <c r="O162" s="48">
        <f>O161+O159</f>
        <v>95.215705545049985</v>
      </c>
      <c r="P162" s="48">
        <f>P161+P159</f>
        <v>109.02437376685199</v>
      </c>
      <c r="Q162" s="48">
        <f>Q161+Q159</f>
        <v>145.25866482523452</v>
      </c>
      <c r="R162" s="49">
        <f>R161+R159</f>
        <v>268.39070921792978</v>
      </c>
      <c r="S162" s="111"/>
      <c r="T162" s="100" t="str">
        <f>'50% Exceedance Baseline'!T162</f>
        <v>Flow gage data plus cumulative inputs adjusted for streambed loss or gain</v>
      </c>
    </row>
    <row r="163" spans="2:20" x14ac:dyDescent="0.25">
      <c r="B163" s="10" t="s">
        <v>8</v>
      </c>
      <c r="C163" s="8">
        <f>$C$16</f>
        <v>150</v>
      </c>
      <c r="D163" s="8">
        <f>$D$16</f>
        <v>150</v>
      </c>
      <c r="E163" s="8">
        <f>$E$16</f>
        <v>150</v>
      </c>
      <c r="F163" s="8">
        <f>$F$16</f>
        <v>150</v>
      </c>
      <c r="G163" s="8">
        <f>$G$16</f>
        <v>150</v>
      </c>
      <c r="H163" s="8">
        <f>$H$16</f>
        <v>100</v>
      </c>
      <c r="I163" s="8">
        <f>$I$16</f>
        <v>65</v>
      </c>
      <c r="J163" s="8">
        <f>$J$16</f>
        <v>65</v>
      </c>
      <c r="K163" s="8">
        <f>$K$16</f>
        <v>65</v>
      </c>
      <c r="L163" s="8">
        <f>$L$16</f>
        <v>65</v>
      </c>
      <c r="M163" s="8">
        <f>$M$16</f>
        <v>65</v>
      </c>
      <c r="N163" s="8">
        <f>$N$16</f>
        <v>65</v>
      </c>
      <c r="O163" s="8">
        <f>$O$16</f>
        <v>65</v>
      </c>
      <c r="P163" s="8">
        <f>$P$16</f>
        <v>65</v>
      </c>
      <c r="Q163" s="8">
        <f>$Q$16</f>
        <v>65</v>
      </c>
      <c r="R163" s="9">
        <f>$R$16</f>
        <v>65</v>
      </c>
      <c r="S163" s="112"/>
      <c r="T163" s="100" t="str">
        <f>'50% Exceedance Baseline'!T163</f>
        <v>Target flows</v>
      </c>
    </row>
    <row r="164" spans="2:20" ht="15.75" thickBot="1" x14ac:dyDescent="0.3">
      <c r="B164" s="37" t="s">
        <v>16</v>
      </c>
      <c r="C164" s="38">
        <f>IF(C162&gt;C163,0,(C163-C162)*-1)</f>
        <v>0</v>
      </c>
      <c r="D164" s="38">
        <f t="shared" ref="D164:E164" si="97">IF(D162&gt;D163,0,(D163-D162)*-1)</f>
        <v>0</v>
      </c>
      <c r="E164" s="38">
        <f t="shared" si="97"/>
        <v>0</v>
      </c>
      <c r="F164" s="38">
        <f>IF(F162&gt;F163,0,(F163-F162)*-1)</f>
        <v>0</v>
      </c>
      <c r="G164" s="38">
        <f t="shared" ref="G164" si="98">IF(G162&gt;G163,0,(G163-G162)*-1)</f>
        <v>0</v>
      </c>
      <c r="H164" s="38">
        <f>IF(H162&gt;H163,0,(H163-H162)*-1)</f>
        <v>0</v>
      </c>
      <c r="I164" s="38">
        <f t="shared" ref="I164:N164" si="99">IF(I162&gt;I163,0,(I163-I162)*-1)</f>
        <v>0</v>
      </c>
      <c r="J164" s="38">
        <f t="shared" si="99"/>
        <v>0</v>
      </c>
      <c r="K164" s="38">
        <f>IF(K162&gt;K163,0,(K163-K162)*-1)</f>
        <v>0</v>
      </c>
      <c r="L164" s="38">
        <f>IF(L162&gt;L163,0,(L163-L162)*-1)</f>
        <v>0</v>
      </c>
      <c r="M164" s="38">
        <f t="shared" si="99"/>
        <v>0</v>
      </c>
      <c r="N164" s="38">
        <f t="shared" si="99"/>
        <v>0</v>
      </c>
      <c r="O164" s="38">
        <f>IF(O162&gt;O163,0,(O163-O162)*-1)</f>
        <v>0</v>
      </c>
      <c r="P164" s="38">
        <f>IF(P162&gt;P163,0,(P163-P162)*-1)</f>
        <v>0</v>
      </c>
      <c r="Q164" s="38">
        <f>IF(Q162&gt;Q163,0,(Q163-Q162)*-1)</f>
        <v>0</v>
      </c>
      <c r="R164" s="39">
        <f>IF(R162&gt;R163,0,(R163-R162)*-1)</f>
        <v>0</v>
      </c>
      <c r="S164" s="105"/>
      <c r="T164" s="100" t="str">
        <f>'50% Exceedance Baseline'!T164</f>
        <v>Deficit between target flows and flow gage data plus total adjusted inputs</v>
      </c>
    </row>
    <row r="165" spans="2:20" x14ac:dyDescent="0.25">
      <c r="B165" s="40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105"/>
    </row>
    <row r="166" spans="2:20" ht="15.75" thickBot="1" x14ac:dyDescent="0.3">
      <c r="B166" s="67" t="s">
        <v>62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18"/>
    </row>
    <row r="167" spans="2:20" ht="15.75" thickBot="1" x14ac:dyDescent="0.3">
      <c r="B167" s="94" t="s">
        <v>5</v>
      </c>
      <c r="C167" s="46">
        <v>0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121">
        <v>0</v>
      </c>
      <c r="R167" s="46">
        <v>0</v>
      </c>
      <c r="S167" s="105"/>
      <c r="T167" s="100" t="str">
        <f>'50% Exceedance Baseline'!T167</f>
        <v>Flow input between Mgt. Pt. 7 and Mgt. Pt. 8</v>
      </c>
    </row>
    <row r="168" spans="2:20" x14ac:dyDescent="0.25">
      <c r="B168" s="95" t="s">
        <v>7</v>
      </c>
      <c r="C168" s="16">
        <f>IF(C182&gt;C181,((C182-C181)*-1),((C181-C182)))</f>
        <v>667.29318639999997</v>
      </c>
      <c r="D168" s="16">
        <f t="shared" ref="D168:E168" si="100">IF(D182&gt;D181,((D182-D181)*-1),((D181-D182)))</f>
        <v>303.71796180000001</v>
      </c>
      <c r="E168" s="16">
        <f t="shared" si="100"/>
        <v>161.46826600000003</v>
      </c>
      <c r="F168" s="16">
        <f>IF(F182&gt;F181,((F182-F181)*-1),((F181-F182)))</f>
        <v>99.32286803512514</v>
      </c>
      <c r="G168" s="16">
        <f>IF(G182&gt;G181,((G182-G181)*-1),((G181-G182)))</f>
        <v>27.006106787131642</v>
      </c>
      <c r="H168" s="16">
        <f t="shared" ref="H168:R168" si="101">IF(H182&gt;H181,((H182-H181)*-1),((H181-H182)))</f>
        <v>47.113062741863132</v>
      </c>
      <c r="I168" s="16">
        <f t="shared" si="101"/>
        <v>32.745501702029543</v>
      </c>
      <c r="J168" s="16">
        <f t="shared" si="101"/>
        <v>2.2003624394657493</v>
      </c>
      <c r="K168" s="16">
        <f t="shared" si="101"/>
        <v>0.22404279779792091</v>
      </c>
      <c r="L168" s="16">
        <f t="shared" si="101"/>
        <v>-5.0821699882810591</v>
      </c>
      <c r="M168" s="16">
        <f t="shared" si="101"/>
        <v>24.978113491317018</v>
      </c>
      <c r="N168" s="16">
        <f t="shared" si="101"/>
        <v>23.340784908351594</v>
      </c>
      <c r="O168" s="16">
        <f t="shared" si="101"/>
        <v>26.552180889465987</v>
      </c>
      <c r="P168" s="16">
        <f t="shared" si="101"/>
        <v>49.718782912244635</v>
      </c>
      <c r="Q168" s="16">
        <f t="shared" si="101"/>
        <v>77.249748929309561</v>
      </c>
      <c r="R168" s="14">
        <f t="shared" si="101"/>
        <v>138.61195666766733</v>
      </c>
      <c r="S168" s="18"/>
      <c r="T168" s="100" t="str">
        <f>'50% Exceedance Baseline'!T168</f>
        <v>Flow target surplus or deficit after input</v>
      </c>
    </row>
    <row r="169" spans="2:20" ht="15.75" thickBot="1" x14ac:dyDescent="0.3">
      <c r="B169" s="96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7"/>
      <c r="S169" s="18"/>
    </row>
    <row r="170" spans="2:20" ht="15.75" thickBot="1" x14ac:dyDescent="0.3">
      <c r="B170" s="97" t="s">
        <v>6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121">
        <v>0</v>
      </c>
      <c r="R170" s="46">
        <v>0</v>
      </c>
      <c r="S170" s="105"/>
      <c r="T170" s="100" t="str">
        <f>'50% Exceedance Baseline'!T170</f>
        <v>Flow input between Mgt. Pt. 7 and Mgt. Pt. 8</v>
      </c>
    </row>
    <row r="171" spans="2:20" x14ac:dyDescent="0.25">
      <c r="B171" s="95" t="s">
        <v>7</v>
      </c>
      <c r="C171" s="16">
        <f>IF(C182&gt;C181,((C182-C181)*-1),((C181-C182)))</f>
        <v>667.29318639999997</v>
      </c>
      <c r="D171" s="16">
        <f t="shared" ref="D171:R171" si="102">IF(D182&gt;D181,((D182-D181)*-1),((D181-D182)))</f>
        <v>303.71796180000001</v>
      </c>
      <c r="E171" s="16">
        <f t="shared" si="102"/>
        <v>161.46826600000003</v>
      </c>
      <c r="F171" s="16">
        <f t="shared" si="102"/>
        <v>99.32286803512514</v>
      </c>
      <c r="G171" s="16">
        <f t="shared" si="102"/>
        <v>27.006106787131642</v>
      </c>
      <c r="H171" s="16">
        <f t="shared" si="102"/>
        <v>47.113062741863132</v>
      </c>
      <c r="I171" s="16">
        <f t="shared" si="102"/>
        <v>32.745501702029543</v>
      </c>
      <c r="J171" s="16">
        <f t="shared" si="102"/>
        <v>2.2003624394657493</v>
      </c>
      <c r="K171" s="16">
        <f t="shared" si="102"/>
        <v>0.22404279779792091</v>
      </c>
      <c r="L171" s="16">
        <f t="shared" si="102"/>
        <v>-5.0821699882810591</v>
      </c>
      <c r="M171" s="16">
        <f t="shared" si="102"/>
        <v>24.978113491317018</v>
      </c>
      <c r="N171" s="16">
        <f t="shared" si="102"/>
        <v>23.340784908351594</v>
      </c>
      <c r="O171" s="16">
        <f t="shared" si="102"/>
        <v>26.552180889465987</v>
      </c>
      <c r="P171" s="16">
        <f t="shared" si="102"/>
        <v>49.718782912244635</v>
      </c>
      <c r="Q171" s="16">
        <f t="shared" si="102"/>
        <v>77.249748929309561</v>
      </c>
      <c r="R171" s="14">
        <f t="shared" si="102"/>
        <v>138.61195666766733</v>
      </c>
      <c r="S171" s="18"/>
      <c r="T171" s="100" t="str">
        <f>'50% Exceedance Baseline'!T171</f>
        <v>Flow target surplus or deficit after input</v>
      </c>
    </row>
    <row r="172" spans="2:20" ht="15.75" thickBot="1" x14ac:dyDescent="0.3">
      <c r="B172" s="96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7"/>
      <c r="S172" s="18"/>
    </row>
    <row r="173" spans="2:20" ht="15.75" thickBot="1" x14ac:dyDescent="0.3">
      <c r="B173" s="73" t="s">
        <v>60</v>
      </c>
      <c r="C173" s="46">
        <v>0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121">
        <v>0</v>
      </c>
      <c r="R173" s="46">
        <v>0</v>
      </c>
      <c r="S173" s="105"/>
      <c r="T173" s="100" t="str">
        <f>'50% Exceedance Baseline'!T173</f>
        <v>Flow input between Mgt. Pt. 7 and Mgt. Pt. 8</v>
      </c>
    </row>
    <row r="174" spans="2:20" x14ac:dyDescent="0.25">
      <c r="B174" s="95" t="s">
        <v>7</v>
      </c>
      <c r="C174" s="16">
        <f>IF(C182&gt;C181,((C182-C181)*-1),((C181-C182)))</f>
        <v>667.29318639999997</v>
      </c>
      <c r="D174" s="16">
        <f t="shared" ref="D174" si="103">IF(D182&gt;D181,((D182-D181)*-1),((D181-D182)))</f>
        <v>303.71796180000001</v>
      </c>
      <c r="E174" s="16">
        <f>IF(E182&gt;E181,((E182-E181)*-1),((E181-E182)))</f>
        <v>161.46826600000003</v>
      </c>
      <c r="F174" s="16">
        <f t="shared" ref="F174:R174" si="104">IF(F182&gt;F181,((F182-F181)*-1),((F181-F182)))</f>
        <v>99.32286803512514</v>
      </c>
      <c r="G174" s="16">
        <f t="shared" si="104"/>
        <v>27.006106787131642</v>
      </c>
      <c r="H174" s="16">
        <f t="shared" si="104"/>
        <v>47.113062741863132</v>
      </c>
      <c r="I174" s="16">
        <f t="shared" si="104"/>
        <v>32.745501702029543</v>
      </c>
      <c r="J174" s="16">
        <f t="shared" si="104"/>
        <v>2.2003624394657493</v>
      </c>
      <c r="K174" s="16">
        <f t="shared" si="104"/>
        <v>0.22404279779792091</v>
      </c>
      <c r="L174" s="16">
        <f t="shared" si="104"/>
        <v>-5.0821699882810591</v>
      </c>
      <c r="M174" s="16">
        <f t="shared" si="104"/>
        <v>24.978113491317018</v>
      </c>
      <c r="N174" s="16">
        <f t="shared" si="104"/>
        <v>23.340784908351594</v>
      </c>
      <c r="O174" s="16">
        <f t="shared" si="104"/>
        <v>26.552180889465987</v>
      </c>
      <c r="P174" s="16">
        <f t="shared" si="104"/>
        <v>49.718782912244635</v>
      </c>
      <c r="Q174" s="16">
        <f t="shared" si="104"/>
        <v>77.249748929309561</v>
      </c>
      <c r="R174" s="14">
        <f t="shared" si="104"/>
        <v>138.61195666766733</v>
      </c>
      <c r="S174" s="18"/>
      <c r="T174" s="100" t="str">
        <f>'50% Exceedance Baseline'!T174</f>
        <v>Flow target surplus or deficit after input</v>
      </c>
    </row>
    <row r="175" spans="2:20" x14ac:dyDescent="0.25">
      <c r="B175" s="98" t="s">
        <v>27</v>
      </c>
      <c r="C175" s="18">
        <f t="shared" ref="C175:F175" si="105">SUM(C167+C170+C173)</f>
        <v>0</v>
      </c>
      <c r="D175" s="18">
        <f t="shared" si="105"/>
        <v>0</v>
      </c>
      <c r="E175" s="18">
        <f t="shared" si="105"/>
        <v>0</v>
      </c>
      <c r="F175" s="18">
        <f t="shared" si="105"/>
        <v>0</v>
      </c>
      <c r="G175" s="18">
        <f>SUM(G167+G170+G173)</f>
        <v>0</v>
      </c>
      <c r="H175" s="18">
        <f t="shared" ref="H175:N175" si="106">SUM(H167+H170+H173)</f>
        <v>0</v>
      </c>
      <c r="I175" s="18">
        <f t="shared" si="106"/>
        <v>0</v>
      </c>
      <c r="J175" s="18">
        <f t="shared" si="106"/>
        <v>0</v>
      </c>
      <c r="K175" s="18">
        <f t="shared" si="106"/>
        <v>0</v>
      </c>
      <c r="L175" s="18">
        <f t="shared" si="106"/>
        <v>0</v>
      </c>
      <c r="M175" s="18">
        <f t="shared" si="106"/>
        <v>0</v>
      </c>
      <c r="N175" s="18">
        <f t="shared" si="106"/>
        <v>0</v>
      </c>
      <c r="O175" s="18">
        <f>SUM(O167+O170+O173)</f>
        <v>0</v>
      </c>
      <c r="P175" s="18">
        <f>SUM(P167+P170+P173)</f>
        <v>0</v>
      </c>
      <c r="Q175" s="18">
        <f>SUM(Q167+Q170+Q173)</f>
        <v>0</v>
      </c>
      <c r="R175" s="17">
        <f>SUM(R167+R170+R173)</f>
        <v>0</v>
      </c>
      <c r="S175" s="18"/>
      <c r="T175" s="100" t="str">
        <f>'50% Exceedance Baseline'!T175</f>
        <v>Subtotal of all inputs in Touchet Confluence to Pierce RV reach</v>
      </c>
    </row>
    <row r="176" spans="2:20" ht="15.75" thickBot="1" x14ac:dyDescent="0.3">
      <c r="B176" s="96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3"/>
      <c r="S176" s="118"/>
    </row>
    <row r="177" spans="2:21" s="64" customFormat="1" ht="15.75" thickBot="1" x14ac:dyDescent="0.3">
      <c r="B177" s="70" t="s">
        <v>69</v>
      </c>
      <c r="C177" s="69">
        <f>'50% Exceedance Baseline'!C177</f>
        <v>-0.223</v>
      </c>
      <c r="D177" s="69">
        <f>'50% Exceedance Baseline'!D177</f>
        <v>-0.223</v>
      </c>
      <c r="E177" s="69">
        <f>'50% Exceedance Baseline'!E177</f>
        <v>-0.223</v>
      </c>
      <c r="F177" s="69">
        <f>'50% Exceedance Baseline'!F177</f>
        <v>-0.223</v>
      </c>
      <c r="G177" s="69">
        <f>'50% Exceedance Baseline'!G177</f>
        <v>-0.223</v>
      </c>
      <c r="H177" s="69">
        <f>'50% Exceedance Baseline'!H177</f>
        <v>-0.223</v>
      </c>
      <c r="I177" s="69">
        <f>'50% Exceedance Baseline'!I177</f>
        <v>-0.17299999999999999</v>
      </c>
      <c r="J177" s="69">
        <f>'50% Exceedance Baseline'!J177</f>
        <v>-0.17299999999999999</v>
      </c>
      <c r="K177" s="69">
        <f>'50% Exceedance Baseline'!K177</f>
        <v>-0.36899999999999999</v>
      </c>
      <c r="L177" s="69">
        <f>'50% Exceedance Baseline'!L177</f>
        <v>-0.36899999999999999</v>
      </c>
      <c r="M177" s="82">
        <f>'50% Exceedance Baseline'!M177</f>
        <v>0.35</v>
      </c>
      <c r="N177" s="82">
        <f>'50% Exceedance Baseline'!N177</f>
        <v>0.35</v>
      </c>
      <c r="O177" s="82">
        <f>'50% Exceedance Baseline'!O177</f>
        <v>0.32</v>
      </c>
      <c r="P177" s="82">
        <f>'50% Exceedance Baseline'!P177</f>
        <v>0.32</v>
      </c>
      <c r="Q177" s="82">
        <f>'50% Exceedance Baseline'!Q177</f>
        <v>0.32</v>
      </c>
      <c r="R177" s="82">
        <f>'50% Exceedance Baseline'!R177</f>
        <v>0.32</v>
      </c>
      <c r="S177" s="107"/>
      <c r="T177" s="100" t="str">
        <f>'50% Exceedance Baseline'!T177</f>
        <v>Percentage total inputs lost or gained due to streambed hydrology (2002-2015 WWBWC seepage data)</v>
      </c>
      <c r="U177" s="83"/>
    </row>
    <row r="178" spans="2:21" x14ac:dyDescent="0.25">
      <c r="B178" s="84" t="s">
        <v>20</v>
      </c>
      <c r="C178" s="57">
        <f>SUM(C175+C159)*(1+C177)</f>
        <v>0</v>
      </c>
      <c r="D178" s="57">
        <f t="shared" ref="D178:N178" si="107">SUM(D175+D159)*(1+D177)</f>
        <v>0</v>
      </c>
      <c r="E178" s="57">
        <f t="shared" si="107"/>
        <v>0</v>
      </c>
      <c r="F178" s="57">
        <f t="shared" si="107"/>
        <v>70.728347235125142</v>
      </c>
      <c r="G178" s="57">
        <f t="shared" si="107"/>
        <v>110.36835239713164</v>
      </c>
      <c r="H178" s="57">
        <f t="shared" si="107"/>
        <v>72.47808767186315</v>
      </c>
      <c r="I178" s="57">
        <f t="shared" si="107"/>
        <v>44.442625482029548</v>
      </c>
      <c r="J178" s="57">
        <f t="shared" si="107"/>
        <v>45.473049179465754</v>
      </c>
      <c r="K178" s="57">
        <f t="shared" si="107"/>
        <v>53.100017547797918</v>
      </c>
      <c r="L178" s="57">
        <f t="shared" si="107"/>
        <v>47.30890035171894</v>
      </c>
      <c r="M178" s="57">
        <f t="shared" si="107"/>
        <v>57.87391745131702</v>
      </c>
      <c r="N178" s="57">
        <f t="shared" si="107"/>
        <v>56.167730398351594</v>
      </c>
      <c r="O178" s="57">
        <f>SUM(O175+O159)*(1+O177)</f>
        <v>62.32473131946599</v>
      </c>
      <c r="P178" s="57">
        <f>SUM(P175+P159)*(1+P177)</f>
        <v>63.392173372244635</v>
      </c>
      <c r="Q178" s="57">
        <f>SUM(Q175+Q159)*(1+Q177)</f>
        <v>46.541437569309565</v>
      </c>
      <c r="R178" s="58">
        <f>SUM(R175+R159)*(1+R177)</f>
        <v>32.19573616766732</v>
      </c>
      <c r="S178" s="110"/>
      <c r="T178" s="100" t="str">
        <f>'50% Exceedance Baseline'!T178</f>
        <v>Total of all upstream input flow adjusted for streambed loss or gain</v>
      </c>
    </row>
    <row r="179" spans="2:21" ht="15.75" thickBot="1" x14ac:dyDescent="0.3">
      <c r="B179" s="71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3"/>
      <c r="S179" s="110"/>
    </row>
    <row r="180" spans="2:21" ht="15.75" thickBot="1" x14ac:dyDescent="0.3">
      <c r="B180" s="24" t="s">
        <v>59</v>
      </c>
      <c r="C180" s="123">
        <f>'50% Exceedance Baseline'!C180</f>
        <v>817.29318639999997</v>
      </c>
      <c r="D180" s="123">
        <f>'50% Exceedance Baseline'!D180</f>
        <v>453.71796180000001</v>
      </c>
      <c r="E180" s="123">
        <f>'50% Exceedance Baseline'!E180</f>
        <v>311.46826600000003</v>
      </c>
      <c r="F180" s="123">
        <f>'50% Exceedance Baseline'!F180</f>
        <v>178.5945208</v>
      </c>
      <c r="G180" s="123">
        <f>'50% Exceedance Baseline'!G180</f>
        <v>66.637754389999998</v>
      </c>
      <c r="H180" s="123">
        <f>'50% Exceedance Baseline'!H180</f>
        <v>74.634975069999996</v>
      </c>
      <c r="I180" s="123">
        <f>'50% Exceedance Baseline'!I180</f>
        <v>53.302876220000002</v>
      </c>
      <c r="J180" s="123">
        <f>'50% Exceedance Baseline'!J180</f>
        <v>21.727313259999999</v>
      </c>
      <c r="K180" s="123">
        <f>'50% Exceedance Baseline'!K180</f>
        <v>12.124025250000001</v>
      </c>
      <c r="L180" s="123">
        <f>'50% Exceedance Baseline'!L180</f>
        <v>12.608929659999999</v>
      </c>
      <c r="M180" s="123">
        <f>'50% Exceedance Baseline'!M180</f>
        <v>32.104196039999998</v>
      </c>
      <c r="N180" s="123">
        <f>'50% Exceedance Baseline'!N180</f>
        <v>32.17305451</v>
      </c>
      <c r="O180" s="123">
        <f>'50% Exceedance Baseline'!O180</f>
        <v>29.227449570000001</v>
      </c>
      <c r="P180" s="123">
        <f>'50% Exceedance Baseline'!P180</f>
        <v>51.32660954</v>
      </c>
      <c r="Q180" s="123">
        <f>'50% Exceedance Baseline'!Q180</f>
        <v>95.708311359999996</v>
      </c>
      <c r="R180" s="123">
        <f>'50% Exceedance Baseline'!R180</f>
        <v>171.41622050000001</v>
      </c>
      <c r="S180" s="27"/>
      <c r="T180" s="100" t="str">
        <f>'50% Exceedance Baseline'!T180</f>
        <v>Median flow data at S-125 gage (2013-2016)</v>
      </c>
    </row>
    <row r="181" spans="2:21" x14ac:dyDescent="0.25">
      <c r="B181" s="47" t="s">
        <v>42</v>
      </c>
      <c r="C181" s="48">
        <f>C180+C178</f>
        <v>817.29318639999997</v>
      </c>
      <c r="D181" s="48">
        <f t="shared" ref="D181:E181" si="108">D180+D178</f>
        <v>453.71796180000001</v>
      </c>
      <c r="E181" s="48">
        <f t="shared" si="108"/>
        <v>311.46826600000003</v>
      </c>
      <c r="F181" s="48">
        <f>F180+F178</f>
        <v>249.32286803512514</v>
      </c>
      <c r="G181" s="48">
        <f t="shared" ref="G181:H181" si="109">G180+G178</f>
        <v>177.00610678713164</v>
      </c>
      <c r="H181" s="48">
        <f t="shared" si="109"/>
        <v>147.11306274186313</v>
      </c>
      <c r="I181" s="48">
        <f>I180+I178</f>
        <v>97.745501702029543</v>
      </c>
      <c r="J181" s="48">
        <f t="shared" ref="J181:N181" si="110">J180+J178</f>
        <v>67.200362439465749</v>
      </c>
      <c r="K181" s="48">
        <f t="shared" si="110"/>
        <v>65.224042797797921</v>
      </c>
      <c r="L181" s="48">
        <f t="shared" si="110"/>
        <v>59.917830011718941</v>
      </c>
      <c r="M181" s="48">
        <f t="shared" si="110"/>
        <v>89.978113491317018</v>
      </c>
      <c r="N181" s="48">
        <f t="shared" si="110"/>
        <v>88.340784908351594</v>
      </c>
      <c r="O181" s="48">
        <f>O180+O178</f>
        <v>91.552180889465987</v>
      </c>
      <c r="P181" s="48">
        <f>P180+P178</f>
        <v>114.71878291224463</v>
      </c>
      <c r="Q181" s="48">
        <f>Q180+Q178</f>
        <v>142.24974892930956</v>
      </c>
      <c r="R181" s="49">
        <f>R180+R178</f>
        <v>203.61195666766733</v>
      </c>
      <c r="S181" s="111"/>
      <c r="T181" s="100" t="str">
        <f>'50% Exceedance Baseline'!T181</f>
        <v>Flow gage data plus cumulative inputs adjusted for streambed loss or gain</v>
      </c>
    </row>
    <row r="182" spans="2:21" x14ac:dyDescent="0.25">
      <c r="B182" s="10" t="s">
        <v>8</v>
      </c>
      <c r="C182" s="8">
        <f>$C$16</f>
        <v>150</v>
      </c>
      <c r="D182" s="8">
        <f>$D$16</f>
        <v>150</v>
      </c>
      <c r="E182" s="8">
        <f>$E$16</f>
        <v>150</v>
      </c>
      <c r="F182" s="8">
        <f>$F$16</f>
        <v>150</v>
      </c>
      <c r="G182" s="8">
        <f>$G$16</f>
        <v>150</v>
      </c>
      <c r="H182" s="8">
        <f>$H$16</f>
        <v>100</v>
      </c>
      <c r="I182" s="8">
        <f>$I$16</f>
        <v>65</v>
      </c>
      <c r="J182" s="8">
        <f>$J$16</f>
        <v>65</v>
      </c>
      <c r="K182" s="8">
        <f>$K$16</f>
        <v>65</v>
      </c>
      <c r="L182" s="8">
        <f>$L$16</f>
        <v>65</v>
      </c>
      <c r="M182" s="8">
        <f>$M$16</f>
        <v>65</v>
      </c>
      <c r="N182" s="8">
        <f>$N$16</f>
        <v>65</v>
      </c>
      <c r="O182" s="8">
        <f>$O$16</f>
        <v>65</v>
      </c>
      <c r="P182" s="8">
        <f>$P$16</f>
        <v>65</v>
      </c>
      <c r="Q182" s="8">
        <f>$Q$16</f>
        <v>65</v>
      </c>
      <c r="R182" s="9">
        <f>$R$16</f>
        <v>65</v>
      </c>
      <c r="S182" s="112"/>
      <c r="T182" s="100" t="str">
        <f>'50% Exceedance Baseline'!T182</f>
        <v>Target flows</v>
      </c>
    </row>
    <row r="183" spans="2:21" ht="15.75" thickBot="1" x14ac:dyDescent="0.3">
      <c r="B183" s="37" t="s">
        <v>17</v>
      </c>
      <c r="C183" s="38">
        <f>IF(C181&gt;C182,0,(C182-C181)*-1)</f>
        <v>0</v>
      </c>
      <c r="D183" s="38">
        <f t="shared" ref="D183:E183" si="111">IF(D181&gt;D182,0,(D182-D181)*-1)</f>
        <v>0</v>
      </c>
      <c r="E183" s="38">
        <f t="shared" si="111"/>
        <v>0</v>
      </c>
      <c r="F183" s="38">
        <f>IF(F181&gt;F182,0,(F182-F181)*-1)</f>
        <v>0</v>
      </c>
      <c r="G183" s="38">
        <f>IF(G181&gt;G182,0,(G182-G181)*-1)</f>
        <v>0</v>
      </c>
      <c r="H183" s="38">
        <f>IF(H181&gt;H182,0,(H182-H181)*-1)</f>
        <v>0</v>
      </c>
      <c r="I183" s="38">
        <f t="shared" ref="I183:N183" si="112">IF(I181&gt;I182,0,(I182-I181)*-1)</f>
        <v>0</v>
      </c>
      <c r="J183" s="38">
        <f>IF(J181&gt;J182,0,(J182-J181)*-1)</f>
        <v>0</v>
      </c>
      <c r="K183" s="38">
        <f t="shared" si="112"/>
        <v>0</v>
      </c>
      <c r="L183" s="38">
        <f t="shared" si="112"/>
        <v>-5.0821699882810591</v>
      </c>
      <c r="M183" s="38">
        <f t="shared" si="112"/>
        <v>0</v>
      </c>
      <c r="N183" s="38">
        <f t="shared" si="112"/>
        <v>0</v>
      </c>
      <c r="O183" s="38">
        <f>IF(O181&gt;O182,0,(O182-O181)*-1)</f>
        <v>0</v>
      </c>
      <c r="P183" s="38">
        <f>IF(P181&gt;P182,0,(P182-P181)*-1)</f>
        <v>0</v>
      </c>
      <c r="Q183" s="38">
        <f>IF(Q181&gt;Q182,0,(Q182-Q181)*-1)</f>
        <v>0</v>
      </c>
      <c r="R183" s="39">
        <f>IF(R181&gt;R182,0,(R182-R181)*-1)</f>
        <v>0</v>
      </c>
      <c r="S183" s="105"/>
      <c r="T183" s="100" t="str">
        <f>'50% Exceedance Baseline'!T183</f>
        <v>Deficit between target flows and flow gage data plus total adjusted inputs</v>
      </c>
    </row>
    <row r="184" spans="2:21" x14ac:dyDescent="0.2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115"/>
    </row>
    <row r="185" spans="2:21" x14ac:dyDescent="0.25">
      <c r="B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2"/>
      <c r="U185" s="1"/>
    </row>
    <row r="186" spans="2:21" x14ac:dyDescent="0.25">
      <c r="B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2"/>
      <c r="U186" s="1"/>
    </row>
    <row r="187" spans="2:21" x14ac:dyDescent="0.25">
      <c r="B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2"/>
      <c r="U187" s="1"/>
    </row>
    <row r="188" spans="2:21" x14ac:dyDescent="0.25">
      <c r="B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2"/>
      <c r="U188" s="1"/>
    </row>
    <row r="189" spans="2:21" x14ac:dyDescent="0.25">
      <c r="B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2"/>
      <c r="U189" s="1"/>
    </row>
    <row r="190" spans="2:21" x14ac:dyDescent="0.25">
      <c r="B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2"/>
      <c r="U190" s="1"/>
    </row>
    <row r="191" spans="2:21" x14ac:dyDescent="0.25">
      <c r="B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2"/>
      <c r="U191" s="1"/>
    </row>
    <row r="192" spans="2:21" x14ac:dyDescent="0.25">
      <c r="B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2"/>
      <c r="U192" s="1"/>
    </row>
    <row r="193" spans="2:21" x14ac:dyDescent="0.25">
      <c r="B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2"/>
      <c r="U193" s="1"/>
    </row>
    <row r="194" spans="2:21" x14ac:dyDescent="0.25">
      <c r="B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2"/>
      <c r="U194" s="1"/>
    </row>
    <row r="195" spans="2:21" x14ac:dyDescent="0.25">
      <c r="B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2"/>
      <c r="U195" s="1"/>
    </row>
    <row r="196" spans="2:21" x14ac:dyDescent="0.25">
      <c r="B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2"/>
      <c r="U196" s="1"/>
    </row>
    <row r="197" spans="2:21" x14ac:dyDescent="0.25">
      <c r="B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2"/>
      <c r="U197" s="1"/>
    </row>
    <row r="198" spans="2:21" x14ac:dyDescent="0.25">
      <c r="B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2"/>
      <c r="U198" s="1"/>
    </row>
    <row r="199" spans="2:21" x14ac:dyDescent="0.25">
      <c r="B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2"/>
      <c r="U199" s="1"/>
    </row>
    <row r="200" spans="2:21" x14ac:dyDescent="0.25">
      <c r="B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2"/>
      <c r="U200" s="1"/>
    </row>
    <row r="201" spans="2:21" x14ac:dyDescent="0.25">
      <c r="B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2"/>
      <c r="U201" s="1"/>
    </row>
    <row r="202" spans="2:21" x14ac:dyDescent="0.25">
      <c r="B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2"/>
      <c r="U202" s="1"/>
    </row>
  </sheetData>
  <mergeCells count="8">
    <mergeCell ref="O6:P6"/>
    <mergeCell ref="Q6:R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02"/>
  <sheetViews>
    <sheetView zoomScale="80" zoomScaleNormal="80" zoomScalePageLayoutView="125" workbookViewId="0">
      <pane ySplit="17" topLeftCell="A27" activePane="bottomLeft" state="frozen"/>
      <selection pane="bottomLeft" activeCell="G41" sqref="G41"/>
    </sheetView>
  </sheetViews>
  <sheetFormatPr defaultColWidth="8.85546875" defaultRowHeight="15" x14ac:dyDescent="0.25"/>
  <cols>
    <col min="1" max="1" width="4.85546875" style="1" customWidth="1"/>
    <col min="2" max="2" width="55.42578125" style="1" customWidth="1"/>
    <col min="3" max="5" width="8.85546875" style="3" customWidth="1"/>
    <col min="6" max="18" width="8.85546875" style="3"/>
    <col min="19" max="19" width="8.85546875" style="13"/>
    <col min="20" max="20" width="10.140625" style="100" customWidth="1"/>
    <col min="21" max="21" width="8.85546875" style="3"/>
    <col min="22" max="22" width="9" style="1" customWidth="1"/>
    <col min="23" max="23" width="8.85546875" style="1"/>
    <col min="24" max="24" width="18" style="1" customWidth="1"/>
    <col min="25" max="16384" width="8.85546875" style="1"/>
  </cols>
  <sheetData>
    <row r="1" spans="2:25" ht="15.75" thickBot="1" x14ac:dyDescent="0.3"/>
    <row r="2" spans="2:25" x14ac:dyDescent="0.25">
      <c r="B2" s="144" t="s">
        <v>68</v>
      </c>
    </row>
    <row r="3" spans="2:25" x14ac:dyDescent="0.25">
      <c r="B3" s="130" t="s">
        <v>149</v>
      </c>
    </row>
    <row r="4" spans="2:25" ht="18.75" x14ac:dyDescent="0.3">
      <c r="B4" s="74" t="s">
        <v>117</v>
      </c>
      <c r="J4" s="125" t="s">
        <v>106</v>
      </c>
    </row>
    <row r="5" spans="2:25" ht="15.75" thickBot="1" x14ac:dyDescent="0.3">
      <c r="B5" s="134" t="s">
        <v>114</v>
      </c>
    </row>
    <row r="6" spans="2:25" ht="15.75" thickBot="1" x14ac:dyDescent="0.3">
      <c r="B6" s="33"/>
      <c r="C6" s="165" t="s">
        <v>29</v>
      </c>
      <c r="D6" s="165"/>
      <c r="E6" s="165" t="s">
        <v>30</v>
      </c>
      <c r="F6" s="165"/>
      <c r="G6" s="165" t="s">
        <v>31</v>
      </c>
      <c r="H6" s="165"/>
      <c r="I6" s="165" t="s">
        <v>32</v>
      </c>
      <c r="J6" s="165"/>
      <c r="K6" s="165" t="s">
        <v>33</v>
      </c>
      <c r="L6" s="165"/>
      <c r="M6" s="165" t="s">
        <v>34</v>
      </c>
      <c r="N6" s="165"/>
      <c r="O6" s="165" t="s">
        <v>35</v>
      </c>
      <c r="P6" s="165"/>
      <c r="Q6" s="165" t="s">
        <v>105</v>
      </c>
      <c r="R6" s="165"/>
      <c r="S6" s="27"/>
    </row>
    <row r="7" spans="2:25" s="4" customFormat="1" x14ac:dyDescent="0.25">
      <c r="B7" s="51" t="s">
        <v>43</v>
      </c>
      <c r="C7" s="52">
        <f>C35</f>
        <v>0</v>
      </c>
      <c r="D7" s="52">
        <f t="shared" ref="D7:N7" si="0">D35</f>
        <v>0</v>
      </c>
      <c r="E7" s="52">
        <f t="shared" si="0"/>
        <v>0</v>
      </c>
      <c r="F7" s="52">
        <f t="shared" si="0"/>
        <v>0</v>
      </c>
      <c r="G7" s="52">
        <f t="shared" si="0"/>
        <v>0</v>
      </c>
      <c r="H7" s="52">
        <f t="shared" si="0"/>
        <v>0</v>
      </c>
      <c r="I7" s="52">
        <f t="shared" si="0"/>
        <v>0</v>
      </c>
      <c r="J7" s="52">
        <f t="shared" si="0"/>
        <v>0</v>
      </c>
      <c r="K7" s="52">
        <f t="shared" si="0"/>
        <v>0</v>
      </c>
      <c r="L7" s="52">
        <f t="shared" si="0"/>
        <v>0</v>
      </c>
      <c r="M7" s="52">
        <f t="shared" si="0"/>
        <v>0</v>
      </c>
      <c r="N7" s="52">
        <f t="shared" si="0"/>
        <v>0</v>
      </c>
      <c r="O7" s="52">
        <f>O35</f>
        <v>0</v>
      </c>
      <c r="P7" s="52">
        <f>P35</f>
        <v>0</v>
      </c>
      <c r="Q7" s="52">
        <f>Q35</f>
        <v>0</v>
      </c>
      <c r="R7" s="52">
        <f>R35</f>
        <v>0</v>
      </c>
      <c r="S7" s="105"/>
      <c r="T7" s="100"/>
      <c r="U7" s="155"/>
    </row>
    <row r="8" spans="2:25" s="4" customFormat="1" x14ac:dyDescent="0.25">
      <c r="B8" s="53" t="s">
        <v>44</v>
      </c>
      <c r="C8" s="54">
        <f>C58</f>
        <v>0</v>
      </c>
      <c r="D8" s="54">
        <f t="shared" ref="D8:N8" si="1">D58</f>
        <v>0</v>
      </c>
      <c r="E8" s="54">
        <f t="shared" si="1"/>
        <v>0</v>
      </c>
      <c r="F8" s="54">
        <f t="shared" si="1"/>
        <v>0</v>
      </c>
      <c r="G8" s="54">
        <f t="shared" si="1"/>
        <v>0</v>
      </c>
      <c r="H8" s="54">
        <f t="shared" si="1"/>
        <v>0</v>
      </c>
      <c r="I8" s="54">
        <f t="shared" si="1"/>
        <v>0</v>
      </c>
      <c r="J8" s="54">
        <f t="shared" si="1"/>
        <v>0</v>
      </c>
      <c r="K8" s="54">
        <f t="shared" si="1"/>
        <v>0</v>
      </c>
      <c r="L8" s="54">
        <f t="shared" si="1"/>
        <v>0</v>
      </c>
      <c r="M8" s="54">
        <f t="shared" si="1"/>
        <v>0</v>
      </c>
      <c r="N8" s="54">
        <f t="shared" si="1"/>
        <v>0</v>
      </c>
      <c r="O8" s="54">
        <f>O58</f>
        <v>0</v>
      </c>
      <c r="P8" s="54">
        <f>P58</f>
        <v>0</v>
      </c>
      <c r="Q8" s="54">
        <f>Q58</f>
        <v>0</v>
      </c>
      <c r="R8" s="54">
        <f>R58</f>
        <v>0</v>
      </c>
      <c r="S8" s="105"/>
      <c r="T8" s="100"/>
      <c r="U8" s="155"/>
    </row>
    <row r="9" spans="2:25" s="4" customFormat="1" x14ac:dyDescent="0.25">
      <c r="B9" s="53" t="s">
        <v>45</v>
      </c>
      <c r="C9" s="54">
        <f>C77</f>
        <v>0</v>
      </c>
      <c r="D9" s="54">
        <f t="shared" ref="D9:N9" si="2">D77</f>
        <v>0</v>
      </c>
      <c r="E9" s="54">
        <f t="shared" si="2"/>
        <v>0</v>
      </c>
      <c r="F9" s="54">
        <f t="shared" si="2"/>
        <v>0</v>
      </c>
      <c r="G9" s="54">
        <f t="shared" si="2"/>
        <v>0</v>
      </c>
      <c r="H9" s="54">
        <f t="shared" si="2"/>
        <v>0</v>
      </c>
      <c r="I9" s="54">
        <f t="shared" si="2"/>
        <v>0</v>
      </c>
      <c r="J9" s="54">
        <f t="shared" si="2"/>
        <v>0</v>
      </c>
      <c r="K9" s="54">
        <f t="shared" si="2"/>
        <v>0</v>
      </c>
      <c r="L9" s="54">
        <f t="shared" si="2"/>
        <v>0</v>
      </c>
      <c r="M9" s="54">
        <f t="shared" si="2"/>
        <v>0</v>
      </c>
      <c r="N9" s="54">
        <f t="shared" si="2"/>
        <v>0</v>
      </c>
      <c r="O9" s="54">
        <f>O77</f>
        <v>0</v>
      </c>
      <c r="P9" s="54">
        <f>P77</f>
        <v>0</v>
      </c>
      <c r="Q9" s="54">
        <f>Q77</f>
        <v>0</v>
      </c>
      <c r="R9" s="54">
        <f>R77</f>
        <v>0</v>
      </c>
      <c r="S9" s="105"/>
      <c r="T9" s="100"/>
      <c r="U9" s="155"/>
    </row>
    <row r="10" spans="2:25" s="4" customFormat="1" x14ac:dyDescent="0.25">
      <c r="B10" s="53" t="s">
        <v>46</v>
      </c>
      <c r="C10" s="54">
        <f>C101</f>
        <v>0</v>
      </c>
      <c r="D10" s="54">
        <f t="shared" ref="D10:N10" si="3">D101</f>
        <v>0</v>
      </c>
      <c r="E10" s="54">
        <f t="shared" si="3"/>
        <v>0</v>
      </c>
      <c r="F10" s="54">
        <f t="shared" si="3"/>
        <v>0</v>
      </c>
      <c r="G10" s="54">
        <f t="shared" si="3"/>
        <v>0</v>
      </c>
      <c r="H10" s="54">
        <f t="shared" si="3"/>
        <v>0</v>
      </c>
      <c r="I10" s="54">
        <f t="shared" si="3"/>
        <v>0</v>
      </c>
      <c r="J10" s="54">
        <f t="shared" si="3"/>
        <v>0</v>
      </c>
      <c r="K10" s="54">
        <f t="shared" si="3"/>
        <v>0</v>
      </c>
      <c r="L10" s="54">
        <f t="shared" si="3"/>
        <v>0</v>
      </c>
      <c r="M10" s="54">
        <f t="shared" si="3"/>
        <v>0</v>
      </c>
      <c r="N10" s="54">
        <f t="shared" si="3"/>
        <v>0</v>
      </c>
      <c r="O10" s="54">
        <f>O101</f>
        <v>0</v>
      </c>
      <c r="P10" s="54">
        <f>P101</f>
        <v>0</v>
      </c>
      <c r="Q10" s="54">
        <f>Q101</f>
        <v>0</v>
      </c>
      <c r="R10" s="54">
        <f>R101</f>
        <v>0</v>
      </c>
      <c r="S10" s="105"/>
      <c r="T10" s="100"/>
      <c r="U10" s="155"/>
    </row>
    <row r="11" spans="2:25" s="4" customFormat="1" x14ac:dyDescent="0.25">
      <c r="B11" s="53" t="s">
        <v>47</v>
      </c>
      <c r="C11" s="54">
        <f>C122</f>
        <v>0</v>
      </c>
      <c r="D11" s="54">
        <f t="shared" ref="D11:N11" si="4">D122</f>
        <v>0</v>
      </c>
      <c r="E11" s="54">
        <f t="shared" si="4"/>
        <v>0</v>
      </c>
      <c r="F11" s="54">
        <f t="shared" si="4"/>
        <v>0</v>
      </c>
      <c r="G11" s="54">
        <f t="shared" si="4"/>
        <v>0</v>
      </c>
      <c r="H11" s="54">
        <f t="shared" si="4"/>
        <v>0</v>
      </c>
      <c r="I11" s="54">
        <f t="shared" si="4"/>
        <v>0</v>
      </c>
      <c r="J11" s="54">
        <f t="shared" si="4"/>
        <v>0</v>
      </c>
      <c r="K11" s="54">
        <f t="shared" si="4"/>
        <v>0</v>
      </c>
      <c r="L11" s="54">
        <f t="shared" si="4"/>
        <v>0</v>
      </c>
      <c r="M11" s="54">
        <f t="shared" si="4"/>
        <v>0</v>
      </c>
      <c r="N11" s="54">
        <f t="shared" si="4"/>
        <v>0</v>
      </c>
      <c r="O11" s="54">
        <f>O122</f>
        <v>0</v>
      </c>
      <c r="P11" s="54">
        <f>P122</f>
        <v>0</v>
      </c>
      <c r="Q11" s="54">
        <f>Q122</f>
        <v>0</v>
      </c>
      <c r="R11" s="54">
        <f>R122</f>
        <v>0</v>
      </c>
      <c r="S11" s="105"/>
      <c r="T11" s="100"/>
      <c r="U11" s="142"/>
    </row>
    <row r="12" spans="2:25" s="4" customFormat="1" x14ac:dyDescent="0.25">
      <c r="B12" s="53" t="s">
        <v>48</v>
      </c>
      <c r="C12" s="54">
        <f>C143</f>
        <v>0</v>
      </c>
      <c r="D12" s="54">
        <f t="shared" ref="D12:N12" si="5">D143</f>
        <v>0</v>
      </c>
      <c r="E12" s="54">
        <f t="shared" si="5"/>
        <v>0</v>
      </c>
      <c r="F12" s="54">
        <f t="shared" si="5"/>
        <v>0</v>
      </c>
      <c r="G12" s="54">
        <f t="shared" si="5"/>
        <v>0</v>
      </c>
      <c r="H12" s="54">
        <f t="shared" si="5"/>
        <v>0</v>
      </c>
      <c r="I12" s="54">
        <f t="shared" si="5"/>
        <v>0</v>
      </c>
      <c r="J12" s="54">
        <f t="shared" si="5"/>
        <v>0</v>
      </c>
      <c r="K12" s="54">
        <f t="shared" si="5"/>
        <v>0</v>
      </c>
      <c r="L12" s="54">
        <f t="shared" si="5"/>
        <v>0</v>
      </c>
      <c r="M12" s="54">
        <f t="shared" si="5"/>
        <v>0</v>
      </c>
      <c r="N12" s="54">
        <f t="shared" si="5"/>
        <v>0</v>
      </c>
      <c r="O12" s="54">
        <f>O143</f>
        <v>0</v>
      </c>
      <c r="P12" s="54">
        <f>P143</f>
        <v>0</v>
      </c>
      <c r="Q12" s="54">
        <f>Q143</f>
        <v>0</v>
      </c>
      <c r="R12" s="54">
        <f>R143</f>
        <v>0</v>
      </c>
      <c r="S12" s="105"/>
      <c r="T12" s="100"/>
      <c r="U12" s="142"/>
    </row>
    <row r="13" spans="2:25" s="4" customFormat="1" x14ac:dyDescent="0.25">
      <c r="B13" s="53" t="s">
        <v>70</v>
      </c>
      <c r="C13" s="54">
        <f>C164</f>
        <v>0</v>
      </c>
      <c r="D13" s="54">
        <f t="shared" ref="D13:N13" si="6">D164</f>
        <v>0</v>
      </c>
      <c r="E13" s="54">
        <f t="shared" si="6"/>
        <v>0</v>
      </c>
      <c r="F13" s="54">
        <f t="shared" si="6"/>
        <v>0</v>
      </c>
      <c r="G13" s="54">
        <f t="shared" si="6"/>
        <v>0</v>
      </c>
      <c r="H13" s="54">
        <f t="shared" si="6"/>
        <v>0</v>
      </c>
      <c r="I13" s="54">
        <f t="shared" si="6"/>
        <v>0</v>
      </c>
      <c r="J13" s="54">
        <f t="shared" si="6"/>
        <v>0</v>
      </c>
      <c r="K13" s="54">
        <f t="shared" si="6"/>
        <v>0</v>
      </c>
      <c r="L13" s="54">
        <f t="shared" si="6"/>
        <v>0</v>
      </c>
      <c r="M13" s="54">
        <f t="shared" si="6"/>
        <v>0</v>
      </c>
      <c r="N13" s="54">
        <f t="shared" si="6"/>
        <v>0</v>
      </c>
      <c r="O13" s="54">
        <f>O164</f>
        <v>0</v>
      </c>
      <c r="P13" s="54">
        <f>P164</f>
        <v>0</v>
      </c>
      <c r="Q13" s="54">
        <f>Q164</f>
        <v>0</v>
      </c>
      <c r="R13" s="54">
        <f>R164</f>
        <v>0</v>
      </c>
      <c r="S13" s="105"/>
      <c r="T13" s="100"/>
      <c r="U13" s="155"/>
    </row>
    <row r="14" spans="2:25" s="4" customFormat="1" ht="15.75" thickBot="1" x14ac:dyDescent="0.3">
      <c r="B14" s="55" t="s">
        <v>49</v>
      </c>
      <c r="C14" s="56">
        <f>C183</f>
        <v>0</v>
      </c>
      <c r="D14" s="56">
        <f t="shared" ref="D14:N14" si="7">D183</f>
        <v>0</v>
      </c>
      <c r="E14" s="56">
        <f t="shared" si="7"/>
        <v>0</v>
      </c>
      <c r="F14" s="56">
        <f t="shared" si="7"/>
        <v>0</v>
      </c>
      <c r="G14" s="56">
        <f t="shared" si="7"/>
        <v>0</v>
      </c>
      <c r="H14" s="56">
        <f t="shared" si="7"/>
        <v>0</v>
      </c>
      <c r="I14" s="56">
        <f t="shared" si="7"/>
        <v>0</v>
      </c>
      <c r="J14" s="56">
        <f t="shared" si="7"/>
        <v>0</v>
      </c>
      <c r="K14" s="56">
        <f t="shared" si="7"/>
        <v>0</v>
      </c>
      <c r="L14" s="56">
        <f t="shared" si="7"/>
        <v>0</v>
      </c>
      <c r="M14" s="56">
        <f t="shared" si="7"/>
        <v>0</v>
      </c>
      <c r="N14" s="56">
        <f t="shared" si="7"/>
        <v>0</v>
      </c>
      <c r="O14" s="56">
        <f>O183</f>
        <v>0</v>
      </c>
      <c r="P14" s="56">
        <f>P183</f>
        <v>0</v>
      </c>
      <c r="Q14" s="56">
        <f>Q183</f>
        <v>0</v>
      </c>
      <c r="R14" s="56">
        <f>R183</f>
        <v>0</v>
      </c>
      <c r="S14" s="105"/>
      <c r="T14" s="101" t="s">
        <v>131</v>
      </c>
      <c r="U14" s="31"/>
      <c r="V14" s="32"/>
      <c r="W14" s="32"/>
      <c r="X14" s="146">
        <f>SUM(U44,U47,U111,U129)+3000-(U41+U105+U126)</f>
        <v>32425.222500000003</v>
      </c>
      <c r="Y14" s="11" t="s">
        <v>125</v>
      </c>
    </row>
    <row r="15" spans="2:25" ht="15.75" thickBot="1" x14ac:dyDescent="0.3">
      <c r="T15" s="145" t="s">
        <v>129</v>
      </c>
      <c r="U15" s="147"/>
      <c r="V15" s="148"/>
      <c r="W15" s="148"/>
      <c r="X15" s="149">
        <f>SUM(X14)</f>
        <v>32425.222500000003</v>
      </c>
    </row>
    <row r="16" spans="2:25" s="4" customFormat="1" ht="15.75" thickBot="1" x14ac:dyDescent="0.3">
      <c r="B16" s="75" t="s">
        <v>107</v>
      </c>
      <c r="C16" s="45">
        <v>150</v>
      </c>
      <c r="D16" s="45">
        <v>150</v>
      </c>
      <c r="E16" s="45">
        <v>150</v>
      </c>
      <c r="F16" s="45">
        <v>150</v>
      </c>
      <c r="G16" s="45">
        <v>150</v>
      </c>
      <c r="H16" s="45">
        <v>100</v>
      </c>
      <c r="I16" s="45">
        <v>65</v>
      </c>
      <c r="J16" s="45">
        <v>65</v>
      </c>
      <c r="K16" s="45">
        <v>65</v>
      </c>
      <c r="L16" s="45">
        <v>65</v>
      </c>
      <c r="M16" s="45">
        <v>65</v>
      </c>
      <c r="N16" s="45">
        <v>65</v>
      </c>
      <c r="O16" s="45">
        <v>65</v>
      </c>
      <c r="P16" s="45">
        <v>65</v>
      </c>
      <c r="Q16" s="45">
        <v>65</v>
      </c>
      <c r="R16" s="45">
        <v>65</v>
      </c>
      <c r="S16" s="27"/>
      <c r="T16" s="150" t="s">
        <v>132</v>
      </c>
      <c r="U16" s="32"/>
      <c r="V16" s="32"/>
      <c r="W16" s="32"/>
      <c r="X16" s="146">
        <f>SUM(C7:R14)*15*1.9835</f>
        <v>0</v>
      </c>
    </row>
    <row r="17" spans="2:21" s="28" customFormat="1" x14ac:dyDescent="0.25">
      <c r="B17" s="7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02"/>
      <c r="U17" s="27"/>
    </row>
    <row r="18" spans="2:21" s="4" customFormat="1" ht="15.75" thickBot="1" x14ac:dyDescent="0.3">
      <c r="B18" s="77" t="s">
        <v>50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101" t="str">
        <f>'50% Exceedance Baseline'!T18</f>
        <v>NOTES</v>
      </c>
      <c r="U18" s="155"/>
    </row>
    <row r="19" spans="2:21" s="11" customFormat="1" ht="15.75" thickBot="1" x14ac:dyDescent="0.3">
      <c r="B19" s="78" t="s">
        <v>5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121">
        <v>0</v>
      </c>
      <c r="R19" s="46">
        <v>0</v>
      </c>
      <c r="S19" s="105"/>
      <c r="T19" s="100" t="str">
        <f>'50% Exceedance Baseline'!T19</f>
        <v>Flow input above Mgt. Pt. 1</v>
      </c>
      <c r="U19" s="8"/>
    </row>
    <row r="20" spans="2:21" s="11" customFormat="1" x14ac:dyDescent="0.25">
      <c r="B20" s="79" t="s">
        <v>7</v>
      </c>
      <c r="C20" s="16">
        <f>IF(C34&gt;C33,((C34-C33)*-1),((C33-C34)))</f>
        <v>315.58645360000003</v>
      </c>
      <c r="D20" s="16">
        <f t="shared" ref="D20:E20" si="8">IF(D34&gt;D33,((D34-D33)*-1),((D33-D34)))</f>
        <v>250.7977975</v>
      </c>
      <c r="E20" s="16">
        <f t="shared" si="8"/>
        <v>234.0911236</v>
      </c>
      <c r="F20" s="16">
        <f>IF(F34&gt;F33,((F34-F33)*-1),((F33-F34)))</f>
        <v>105.40185410000001</v>
      </c>
      <c r="G20" s="16">
        <f>IF(G34&gt;G33,((G34-G33)*-1),((G33-G34)))</f>
        <v>72.051147100000009</v>
      </c>
      <c r="H20" s="16">
        <f t="shared" ref="H20:R20" si="9">IF(H34&gt;H33,((H34-H33)*-1),((H33-H34)))</f>
        <v>74.015495399999992</v>
      </c>
      <c r="I20" s="16">
        <f t="shared" si="9"/>
        <v>64.093295299999994</v>
      </c>
      <c r="J20" s="16">
        <f t="shared" si="9"/>
        <v>43.301793500000002</v>
      </c>
      <c r="K20" s="16">
        <f t="shared" si="9"/>
        <v>36.390017099999994</v>
      </c>
      <c r="L20" s="16">
        <f t="shared" si="9"/>
        <v>34.097356379999994</v>
      </c>
      <c r="M20" s="16">
        <f t="shared" si="9"/>
        <v>35.555049600000004</v>
      </c>
      <c r="N20" s="16">
        <f t="shared" si="9"/>
        <v>40.275458499999999</v>
      </c>
      <c r="O20" s="16">
        <f t="shared" si="9"/>
        <v>44.218186099999997</v>
      </c>
      <c r="P20" s="16">
        <f t="shared" si="9"/>
        <v>44.636585600000004</v>
      </c>
      <c r="Q20" s="16">
        <f t="shared" si="9"/>
        <v>49.726156500000002</v>
      </c>
      <c r="R20" s="14">
        <f t="shared" si="9"/>
        <v>64.693781599999994</v>
      </c>
      <c r="S20" s="18"/>
      <c r="T20" s="100" t="str">
        <f>'50% Exceedance Baseline'!T20</f>
        <v>Flow target surplus or deficit after input</v>
      </c>
      <c r="U20" s="8"/>
    </row>
    <row r="21" spans="2:21" s="11" customFormat="1" ht="15.75" thickBot="1" x14ac:dyDescent="0.3">
      <c r="B21" s="8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7"/>
      <c r="S21" s="18"/>
      <c r="T21" s="100"/>
      <c r="U21" s="8"/>
    </row>
    <row r="22" spans="2:21" ht="15.75" thickBot="1" x14ac:dyDescent="0.3">
      <c r="B22" s="73" t="s">
        <v>6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121">
        <v>0</v>
      </c>
      <c r="R22" s="46">
        <v>0</v>
      </c>
      <c r="S22" s="105"/>
      <c r="T22" s="100" t="str">
        <f>'50% Exceedance Baseline'!T22</f>
        <v>Flow input above Mgt. Pt. 1</v>
      </c>
    </row>
    <row r="23" spans="2:21" s="4" customFormat="1" x14ac:dyDescent="0.25">
      <c r="B23" s="79" t="s">
        <v>7</v>
      </c>
      <c r="C23" s="16">
        <f>IF(C34&gt;C33,((C34-C33)*-1),((C33-C34)))</f>
        <v>315.58645360000003</v>
      </c>
      <c r="D23" s="16">
        <f t="shared" ref="D23:R23" si="10">IF(D34&gt;D33,((D34-D33)*-1),((D33-D34)))</f>
        <v>250.7977975</v>
      </c>
      <c r="E23" s="16">
        <f t="shared" si="10"/>
        <v>234.0911236</v>
      </c>
      <c r="F23" s="16">
        <f t="shared" si="10"/>
        <v>105.40185410000001</v>
      </c>
      <c r="G23" s="16">
        <f t="shared" si="10"/>
        <v>72.051147100000009</v>
      </c>
      <c r="H23" s="16">
        <f t="shared" si="10"/>
        <v>74.015495399999992</v>
      </c>
      <c r="I23" s="16">
        <f t="shared" si="10"/>
        <v>64.093295299999994</v>
      </c>
      <c r="J23" s="16">
        <f t="shared" si="10"/>
        <v>43.301793500000002</v>
      </c>
      <c r="K23" s="16">
        <f t="shared" si="10"/>
        <v>36.390017099999994</v>
      </c>
      <c r="L23" s="16">
        <f t="shared" si="10"/>
        <v>34.097356379999994</v>
      </c>
      <c r="M23" s="16">
        <f t="shared" si="10"/>
        <v>35.555049600000004</v>
      </c>
      <c r="N23" s="16">
        <f t="shared" si="10"/>
        <v>40.275458499999999</v>
      </c>
      <c r="O23" s="16">
        <f t="shared" si="10"/>
        <v>44.218186099999997</v>
      </c>
      <c r="P23" s="16">
        <f t="shared" si="10"/>
        <v>44.636585600000004</v>
      </c>
      <c r="Q23" s="16">
        <f t="shared" si="10"/>
        <v>49.726156500000002</v>
      </c>
      <c r="R23" s="14">
        <f t="shared" si="10"/>
        <v>64.693781599999994</v>
      </c>
      <c r="S23" s="18"/>
      <c r="T23" s="100" t="str">
        <f>'50% Exceedance Baseline'!T23</f>
        <v>Flow target surplus or deficit after input</v>
      </c>
      <c r="U23" s="155"/>
    </row>
    <row r="24" spans="2:21" s="26" customFormat="1" ht="15.75" thickBot="1" x14ac:dyDescent="0.3">
      <c r="B24" s="8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7"/>
      <c r="S24" s="18"/>
      <c r="T24" s="100"/>
      <c r="U24" s="25"/>
    </row>
    <row r="25" spans="2:21" s="4" customFormat="1" ht="15.75" thickBot="1" x14ac:dyDescent="0.3">
      <c r="B25" s="73" t="s">
        <v>60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121">
        <v>0</v>
      </c>
      <c r="R25" s="46">
        <v>0</v>
      </c>
      <c r="S25" s="105"/>
      <c r="T25" s="100" t="str">
        <f>'50% Exceedance Baseline'!T25</f>
        <v>Flow input above Mgt. Pt. 1</v>
      </c>
      <c r="U25" s="155"/>
    </row>
    <row r="26" spans="2:21" s="4" customFormat="1" x14ac:dyDescent="0.25">
      <c r="B26" s="79" t="s">
        <v>7</v>
      </c>
      <c r="C26" s="16">
        <f>IF(C34&gt;C33,((C34-C33)*-1),((C33-C34)))</f>
        <v>315.58645360000003</v>
      </c>
      <c r="D26" s="16">
        <f t="shared" ref="D26:R26" si="11">IF(D34&gt;D33,((D34-D33)*-1),((D33-D34)))</f>
        <v>250.7977975</v>
      </c>
      <c r="E26" s="16">
        <f t="shared" si="11"/>
        <v>234.0911236</v>
      </c>
      <c r="F26" s="16">
        <f t="shared" si="11"/>
        <v>105.40185410000001</v>
      </c>
      <c r="G26" s="16">
        <f t="shared" si="11"/>
        <v>72.051147100000009</v>
      </c>
      <c r="H26" s="16">
        <f t="shared" si="11"/>
        <v>74.015495399999992</v>
      </c>
      <c r="I26" s="16">
        <f t="shared" si="11"/>
        <v>64.093295299999994</v>
      </c>
      <c r="J26" s="16">
        <f t="shared" si="11"/>
        <v>43.301793500000002</v>
      </c>
      <c r="K26" s="16">
        <f t="shared" si="11"/>
        <v>36.390017099999994</v>
      </c>
      <c r="L26" s="16">
        <f t="shared" si="11"/>
        <v>34.097356379999994</v>
      </c>
      <c r="M26" s="16">
        <f t="shared" si="11"/>
        <v>35.555049600000004</v>
      </c>
      <c r="N26" s="16">
        <f t="shared" si="11"/>
        <v>40.275458499999999</v>
      </c>
      <c r="O26" s="16">
        <f t="shared" si="11"/>
        <v>44.218186099999997</v>
      </c>
      <c r="P26" s="16">
        <f t="shared" si="11"/>
        <v>44.636585600000004</v>
      </c>
      <c r="Q26" s="16">
        <f t="shared" si="11"/>
        <v>49.726156500000002</v>
      </c>
      <c r="R26" s="14">
        <f t="shared" si="11"/>
        <v>64.693781599999994</v>
      </c>
      <c r="S26" s="18"/>
      <c r="T26" s="100" t="str">
        <f>'50% Exceedance Baseline'!T26</f>
        <v>Flow target surplus or deficit after input</v>
      </c>
      <c r="U26" s="155"/>
    </row>
    <row r="27" spans="2:21" s="4" customFormat="1" x14ac:dyDescent="0.25">
      <c r="B27" s="81" t="s">
        <v>19</v>
      </c>
      <c r="C27" s="18">
        <f t="shared" ref="C27:F27" si="12">SUM(C19+C22+C25)</f>
        <v>0</v>
      </c>
      <c r="D27" s="18">
        <f t="shared" si="12"/>
        <v>0</v>
      </c>
      <c r="E27" s="18">
        <f t="shared" si="12"/>
        <v>0</v>
      </c>
      <c r="F27" s="18">
        <f t="shared" si="12"/>
        <v>0</v>
      </c>
      <c r="G27" s="18">
        <f>SUM(G19+G22+G25)</f>
        <v>0</v>
      </c>
      <c r="H27" s="18">
        <f t="shared" ref="H27:N27" si="13">SUM(H19+H22+H25)</f>
        <v>0</v>
      </c>
      <c r="I27" s="18">
        <f t="shared" si="13"/>
        <v>0</v>
      </c>
      <c r="J27" s="18">
        <f t="shared" si="13"/>
        <v>0</v>
      </c>
      <c r="K27" s="18">
        <f t="shared" si="13"/>
        <v>0</v>
      </c>
      <c r="L27" s="18">
        <f t="shared" si="13"/>
        <v>0</v>
      </c>
      <c r="M27" s="18">
        <f t="shared" si="13"/>
        <v>0</v>
      </c>
      <c r="N27" s="18">
        <f t="shared" si="13"/>
        <v>0</v>
      </c>
      <c r="O27" s="18">
        <f>SUM(O19+O22+O25)</f>
        <v>0</v>
      </c>
      <c r="P27" s="18">
        <f>SUM(P19+P22+P25)</f>
        <v>0</v>
      </c>
      <c r="Q27" s="18">
        <f>SUM(Q19+Q22+Q25)</f>
        <v>0</v>
      </c>
      <c r="R27" s="17">
        <f>SUM(R19+R22+R25)</f>
        <v>0</v>
      </c>
      <c r="S27" s="18"/>
      <c r="T27" s="100" t="str">
        <f>'50% Exceedance Baseline'!T27</f>
        <v>Subtotal of all inputs in reach above Milton-Freewater</v>
      </c>
      <c r="U27" s="155"/>
    </row>
    <row r="28" spans="2:21" s="4" customFormat="1" ht="15.75" thickBot="1" x14ac:dyDescent="0.3">
      <c r="B28" s="8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7"/>
      <c r="S28" s="18"/>
      <c r="T28" s="100"/>
      <c r="U28" s="155"/>
    </row>
    <row r="29" spans="2:21" s="64" customFormat="1" ht="15.75" thickBot="1" x14ac:dyDescent="0.3">
      <c r="B29" s="70" t="s">
        <v>28</v>
      </c>
      <c r="C29" s="82">
        <f>'50% Exceedance Baseline'!C29</f>
        <v>0.113</v>
      </c>
      <c r="D29" s="82">
        <f>'50% Exceedance Baseline'!D29</f>
        <v>0.113</v>
      </c>
      <c r="E29" s="82">
        <f>'50% Exceedance Baseline'!E29</f>
        <v>0.113</v>
      </c>
      <c r="F29" s="82">
        <f>'50% Exceedance Baseline'!F29</f>
        <v>0.113</v>
      </c>
      <c r="G29" s="82">
        <f>'50% Exceedance Baseline'!G29</f>
        <v>0.113</v>
      </c>
      <c r="H29" s="82">
        <f>'50% Exceedance Baseline'!H29</f>
        <v>0.113</v>
      </c>
      <c r="I29" s="82">
        <f>'50% Exceedance Baseline'!I29</f>
        <v>8.6999999999999994E-2</v>
      </c>
      <c r="J29" s="82">
        <f>'50% Exceedance Baseline'!J29</f>
        <v>8.6999999999999994E-2</v>
      </c>
      <c r="K29" s="82">
        <f>'50% Exceedance Baseline'!K29</f>
        <v>0.20699999999999999</v>
      </c>
      <c r="L29" s="82">
        <f>'50% Exceedance Baseline'!L29</f>
        <v>0.20699999999999999</v>
      </c>
      <c r="M29" s="82">
        <f>'50% Exceedance Baseline'!M29</f>
        <v>0.12</v>
      </c>
      <c r="N29" s="82">
        <f>'50% Exceedance Baseline'!N29</f>
        <v>0.12</v>
      </c>
      <c r="O29" s="82">
        <f>'50% Exceedance Baseline'!O29</f>
        <v>0.26700000000000002</v>
      </c>
      <c r="P29" s="82">
        <f>'50% Exceedance Baseline'!P29</f>
        <v>0.26700000000000002</v>
      </c>
      <c r="Q29" s="69">
        <f>'50% Exceedance Baseline'!Q29</f>
        <v>-0.14099999999999999</v>
      </c>
      <c r="R29" s="69">
        <f>'50% Exceedance Baseline'!R29</f>
        <v>-0.14099999999999999</v>
      </c>
      <c r="S29" s="106"/>
      <c r="T29" s="100" t="str">
        <f>'50% Exceedance Baseline'!T29</f>
        <v>Percentage total inputs lost or gained due to streambed hydrology (2002-2015 WWBWC seepage data)</v>
      </c>
      <c r="U29" s="83"/>
    </row>
    <row r="30" spans="2:21" s="4" customFormat="1" x14ac:dyDescent="0.25">
      <c r="B30" s="84" t="s">
        <v>20</v>
      </c>
      <c r="C30" s="57">
        <f>SUM(C27)*(1+C29)</f>
        <v>0</v>
      </c>
      <c r="D30" s="57">
        <f t="shared" ref="D30:N30" si="14">SUM(D27)*(1+D29)</f>
        <v>0</v>
      </c>
      <c r="E30" s="57">
        <f t="shared" si="14"/>
        <v>0</v>
      </c>
      <c r="F30" s="57">
        <f t="shared" si="14"/>
        <v>0</v>
      </c>
      <c r="G30" s="57">
        <f t="shared" si="14"/>
        <v>0</v>
      </c>
      <c r="H30" s="57">
        <f t="shared" si="14"/>
        <v>0</v>
      </c>
      <c r="I30" s="57">
        <f t="shared" si="14"/>
        <v>0</v>
      </c>
      <c r="J30" s="57">
        <f t="shared" si="14"/>
        <v>0</v>
      </c>
      <c r="K30" s="57">
        <f t="shared" si="14"/>
        <v>0</v>
      </c>
      <c r="L30" s="57">
        <f t="shared" si="14"/>
        <v>0</v>
      </c>
      <c r="M30" s="57">
        <f t="shared" si="14"/>
        <v>0</v>
      </c>
      <c r="N30" s="57">
        <f t="shared" si="14"/>
        <v>0</v>
      </c>
      <c r="O30" s="57">
        <f>SUM(O27)*(1+O29)</f>
        <v>0</v>
      </c>
      <c r="P30" s="57">
        <f>SUM(P27)*(1+P29)</f>
        <v>0</v>
      </c>
      <c r="Q30" s="57">
        <f>SUM(Q27)*(1+Q29)</f>
        <v>0</v>
      </c>
      <c r="R30" s="58">
        <f>SUM(R27)*(1+R29)</f>
        <v>0</v>
      </c>
      <c r="S30" s="110"/>
      <c r="T30" s="100" t="str">
        <f>'50% Exceedance Baseline'!T30</f>
        <v>Total of all upstream input flow adjusted for streambed loss or gain</v>
      </c>
      <c r="U30" s="155"/>
    </row>
    <row r="31" spans="2:21" s="4" customFormat="1" ht="15.75" thickBot="1" x14ac:dyDescent="0.3">
      <c r="B31" s="7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110"/>
      <c r="T31" s="100"/>
      <c r="U31" s="155"/>
    </row>
    <row r="32" spans="2:21" ht="15.75" thickBot="1" x14ac:dyDescent="0.3">
      <c r="B32" s="24" t="s">
        <v>52</v>
      </c>
      <c r="C32" s="123">
        <f>'50% Exceedance Baseline'!C32</f>
        <v>465.58645360000003</v>
      </c>
      <c r="D32" s="123">
        <f>'50% Exceedance Baseline'!D32</f>
        <v>400.7977975</v>
      </c>
      <c r="E32" s="123">
        <f>'50% Exceedance Baseline'!E32</f>
        <v>384.0911236</v>
      </c>
      <c r="F32" s="123">
        <f>'50% Exceedance Baseline'!F32</f>
        <v>255.40185410000001</v>
      </c>
      <c r="G32" s="123">
        <f>'50% Exceedance Baseline'!G32</f>
        <v>222.05114710000001</v>
      </c>
      <c r="H32" s="123">
        <f>'50% Exceedance Baseline'!H32</f>
        <v>174.01549539999999</v>
      </c>
      <c r="I32" s="123">
        <f>'50% Exceedance Baseline'!I32</f>
        <v>129.09329529999999</v>
      </c>
      <c r="J32" s="123">
        <f>'50% Exceedance Baseline'!J32</f>
        <v>108.3017935</v>
      </c>
      <c r="K32" s="123">
        <f>'50% Exceedance Baseline'!K32</f>
        <v>101.39001709999999</v>
      </c>
      <c r="L32" s="123">
        <f>'50% Exceedance Baseline'!L32</f>
        <v>99.097356379999994</v>
      </c>
      <c r="M32" s="123">
        <f>'50% Exceedance Baseline'!M32</f>
        <v>100.5550496</v>
      </c>
      <c r="N32" s="123">
        <f>'50% Exceedance Baseline'!N32</f>
        <v>105.2754585</v>
      </c>
      <c r="O32" s="123">
        <f>'50% Exceedance Baseline'!O32</f>
        <v>109.2181861</v>
      </c>
      <c r="P32" s="123">
        <f>'50% Exceedance Baseline'!P32</f>
        <v>109.6365856</v>
      </c>
      <c r="Q32" s="123">
        <f>'50% Exceedance Baseline'!Q32</f>
        <v>114.7261565</v>
      </c>
      <c r="R32" s="123">
        <f>'50% Exceedance Baseline'!R32</f>
        <v>129.69378159999999</v>
      </c>
      <c r="S32" s="27"/>
      <c r="T32" s="100" t="str">
        <f>'50% Exceedance Baseline'!T32</f>
        <v>Median flow data at S-105 gage (2002-2016)</v>
      </c>
    </row>
    <row r="33" spans="2:26" x14ac:dyDescent="0.25">
      <c r="B33" s="47" t="s">
        <v>36</v>
      </c>
      <c r="C33" s="48">
        <f>C32+C30</f>
        <v>465.58645360000003</v>
      </c>
      <c r="D33" s="48">
        <f t="shared" ref="D33:N33" si="15">D32+D30</f>
        <v>400.7977975</v>
      </c>
      <c r="E33" s="48">
        <f t="shared" si="15"/>
        <v>384.0911236</v>
      </c>
      <c r="F33" s="48">
        <f t="shared" si="15"/>
        <v>255.40185410000001</v>
      </c>
      <c r="G33" s="48">
        <f t="shared" si="15"/>
        <v>222.05114710000001</v>
      </c>
      <c r="H33" s="48">
        <f t="shared" si="15"/>
        <v>174.01549539999999</v>
      </c>
      <c r="I33" s="48">
        <f t="shared" si="15"/>
        <v>129.09329529999999</v>
      </c>
      <c r="J33" s="48">
        <f t="shared" si="15"/>
        <v>108.3017935</v>
      </c>
      <c r="K33" s="48">
        <f t="shared" si="15"/>
        <v>101.39001709999999</v>
      </c>
      <c r="L33" s="48">
        <f t="shared" si="15"/>
        <v>99.097356379999994</v>
      </c>
      <c r="M33" s="48">
        <f t="shared" si="15"/>
        <v>100.5550496</v>
      </c>
      <c r="N33" s="48">
        <f t="shared" si="15"/>
        <v>105.2754585</v>
      </c>
      <c r="O33" s="48">
        <f>O32+O30</f>
        <v>109.2181861</v>
      </c>
      <c r="P33" s="48">
        <f>P32+P30</f>
        <v>109.6365856</v>
      </c>
      <c r="Q33" s="48">
        <f>Q32+Q30</f>
        <v>114.7261565</v>
      </c>
      <c r="R33" s="49">
        <f>R32+R30</f>
        <v>129.69378159999999</v>
      </c>
      <c r="S33" s="111"/>
      <c r="T33" s="100" t="str">
        <f>'50% Exceedance Baseline'!T33</f>
        <v>Flow gage data plus cumulative inputs adjusted for streambed loss or gain</v>
      </c>
    </row>
    <row r="34" spans="2:26" s="4" customFormat="1" x14ac:dyDescent="0.25">
      <c r="B34" s="10" t="s">
        <v>8</v>
      </c>
      <c r="C34" s="8">
        <f>$C$16</f>
        <v>150</v>
      </c>
      <c r="D34" s="8">
        <f>$D$16</f>
        <v>150</v>
      </c>
      <c r="E34" s="8">
        <f>$E$16</f>
        <v>150</v>
      </c>
      <c r="F34" s="8">
        <f>$F$16</f>
        <v>150</v>
      </c>
      <c r="G34" s="8">
        <f>$G$16</f>
        <v>150</v>
      </c>
      <c r="H34" s="8">
        <f>$H$16</f>
        <v>100</v>
      </c>
      <c r="I34" s="8">
        <f>$I$16</f>
        <v>65</v>
      </c>
      <c r="J34" s="8">
        <f>$J$16</f>
        <v>65</v>
      </c>
      <c r="K34" s="8">
        <f>$K$16</f>
        <v>65</v>
      </c>
      <c r="L34" s="8">
        <f>$L$16</f>
        <v>65</v>
      </c>
      <c r="M34" s="8">
        <f>$M$16</f>
        <v>65</v>
      </c>
      <c r="N34" s="8">
        <f>$N$16</f>
        <v>65</v>
      </c>
      <c r="O34" s="8">
        <f>$O$16</f>
        <v>65</v>
      </c>
      <c r="P34" s="8">
        <f>$P$16</f>
        <v>65</v>
      </c>
      <c r="Q34" s="8">
        <f>$Q$16</f>
        <v>65</v>
      </c>
      <c r="R34" s="9">
        <f>$R$16</f>
        <v>65</v>
      </c>
      <c r="S34" s="112"/>
      <c r="T34" s="100" t="str">
        <f>'50% Exceedance Baseline'!T34</f>
        <v>Target flows</v>
      </c>
      <c r="U34" s="155"/>
    </row>
    <row r="35" spans="2:26" s="4" customFormat="1" ht="15.75" thickBot="1" x14ac:dyDescent="0.3">
      <c r="B35" s="37" t="s">
        <v>9</v>
      </c>
      <c r="C35" s="38">
        <f>IF(C33&gt;C34,0,(C34-C33)*-1)</f>
        <v>0</v>
      </c>
      <c r="D35" s="38">
        <f t="shared" ref="D35:N35" si="16">IF(D33&gt;D34,0,(D34-D33)*-1)</f>
        <v>0</v>
      </c>
      <c r="E35" s="38">
        <f t="shared" si="16"/>
        <v>0</v>
      </c>
      <c r="F35" s="38">
        <f t="shared" si="16"/>
        <v>0</v>
      </c>
      <c r="G35" s="38">
        <f t="shared" si="16"/>
        <v>0</v>
      </c>
      <c r="H35" s="38">
        <f t="shared" si="16"/>
        <v>0</v>
      </c>
      <c r="I35" s="38">
        <f t="shared" si="16"/>
        <v>0</v>
      </c>
      <c r="J35" s="38">
        <f t="shared" si="16"/>
        <v>0</v>
      </c>
      <c r="K35" s="38">
        <f t="shared" si="16"/>
        <v>0</v>
      </c>
      <c r="L35" s="38">
        <f t="shared" si="16"/>
        <v>0</v>
      </c>
      <c r="M35" s="38">
        <f t="shared" si="16"/>
        <v>0</v>
      </c>
      <c r="N35" s="38">
        <f t="shared" si="16"/>
        <v>0</v>
      </c>
      <c r="O35" s="38">
        <f>IF(O33&gt;O34,0,(O34-O33)*-1)</f>
        <v>0</v>
      </c>
      <c r="P35" s="38">
        <f>IF(P33&gt;P34,0,(P34-P33)*-1)</f>
        <v>0</v>
      </c>
      <c r="Q35" s="38">
        <f>IF(Q33&gt;Q34,0,(Q34-Q33)*-1)</f>
        <v>0</v>
      </c>
      <c r="R35" s="39">
        <f>IF(R33&gt;R34,0,(R34-R33)*-1)</f>
        <v>0</v>
      </c>
      <c r="S35" s="105"/>
      <c r="T35" s="100" t="str">
        <f>'50% Exceedance Baseline'!T35</f>
        <v>Deficit between target flows and flow gage data plus total adjusted inputs</v>
      </c>
      <c r="U35" s="155"/>
    </row>
    <row r="36" spans="2:26" s="4" customFormat="1" x14ac:dyDescent="0.25">
      <c r="B36" s="3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18"/>
      <c r="T36" s="100"/>
      <c r="U36" s="155"/>
    </row>
    <row r="37" spans="2:26" s="4" customFormat="1" x14ac:dyDescent="0.25">
      <c r="B37" s="85" t="s">
        <v>1</v>
      </c>
      <c r="C37" s="8">
        <f>'50% Exceedance Baseline'!C37</f>
        <v>87</v>
      </c>
      <c r="D37" s="8">
        <f>'50% Exceedance Baseline'!D37</f>
        <v>92</v>
      </c>
      <c r="E37" s="8">
        <f>'50% Exceedance Baseline'!E37</f>
        <v>97</v>
      </c>
      <c r="F37" s="8">
        <f>'50% Exceedance Baseline'!F37</f>
        <v>101</v>
      </c>
      <c r="G37" s="8">
        <f>'50% Exceedance Baseline'!G37</f>
        <v>103</v>
      </c>
      <c r="H37" s="8">
        <f>'50% Exceedance Baseline'!H37</f>
        <v>100</v>
      </c>
      <c r="I37" s="8">
        <f>'50% Exceedance Baseline'!I37</f>
        <v>85</v>
      </c>
      <c r="J37" s="8">
        <f>'50% Exceedance Baseline'!J37</f>
        <v>68</v>
      </c>
      <c r="K37" s="8">
        <f>'50% Exceedance Baseline'!K37</f>
        <v>59</v>
      </c>
      <c r="L37" s="8">
        <f>'50% Exceedance Baseline'!L37</f>
        <v>60</v>
      </c>
      <c r="M37" s="8">
        <f>'50% Exceedance Baseline'!M37</f>
        <v>62</v>
      </c>
      <c r="N37" s="8">
        <f>'50% Exceedance Baseline'!N37</f>
        <v>64</v>
      </c>
      <c r="O37" s="8">
        <f>'50% Exceedance Baseline'!O37</f>
        <v>69</v>
      </c>
      <c r="P37" s="8">
        <f>'50% Exceedance Baseline'!P37</f>
        <v>70</v>
      </c>
      <c r="Q37" s="8">
        <f>'50% Exceedance Baseline'!Q37</f>
        <v>60</v>
      </c>
      <c r="R37" s="8">
        <f>'50% Exceedance Baseline'!R37</f>
        <v>60</v>
      </c>
      <c r="S37" s="112"/>
      <c r="T37" s="100"/>
      <c r="U37" s="155"/>
    </row>
    <row r="38" spans="2:26" s="4" customFormat="1" x14ac:dyDescent="0.25">
      <c r="B38" s="85" t="s">
        <v>0</v>
      </c>
      <c r="C38" s="8">
        <f>'50% Exceedance Baseline'!C38</f>
        <v>5</v>
      </c>
      <c r="D38" s="8">
        <f>'50% Exceedance Baseline'!D38</f>
        <v>5</v>
      </c>
      <c r="E38" s="8">
        <f>'50% Exceedance Baseline'!E38</f>
        <v>5</v>
      </c>
      <c r="F38" s="8">
        <f>'50% Exceedance Baseline'!F38</f>
        <v>5</v>
      </c>
      <c r="G38" s="8">
        <f>'50% Exceedance Baseline'!G38</f>
        <v>5</v>
      </c>
      <c r="H38" s="8">
        <f>'50% Exceedance Baseline'!H38</f>
        <v>5</v>
      </c>
      <c r="I38" s="8">
        <f>'50% Exceedance Baseline'!I38</f>
        <v>5</v>
      </c>
      <c r="J38" s="8">
        <f>'50% Exceedance Baseline'!J38</f>
        <v>5</v>
      </c>
      <c r="K38" s="8">
        <f>'50% Exceedance Baseline'!K38</f>
        <v>5</v>
      </c>
      <c r="L38" s="8">
        <f>'50% Exceedance Baseline'!L38</f>
        <v>5</v>
      </c>
      <c r="M38" s="8">
        <f>'50% Exceedance Baseline'!M38</f>
        <v>5</v>
      </c>
      <c r="N38" s="8">
        <f>'50% Exceedance Baseline'!N38</f>
        <v>5</v>
      </c>
      <c r="O38" s="8">
        <f>'50% Exceedance Baseline'!O38</f>
        <v>5</v>
      </c>
      <c r="P38" s="8">
        <f>'50% Exceedance Baseline'!P38</f>
        <v>5</v>
      </c>
      <c r="Q38" s="8">
        <f>'50% Exceedance Baseline'!Q38</f>
        <v>0</v>
      </c>
      <c r="R38" s="8">
        <f>'50% Exceedance Baseline'!R38</f>
        <v>0</v>
      </c>
      <c r="S38" s="112"/>
      <c r="T38" s="100"/>
      <c r="U38" s="155"/>
    </row>
    <row r="39" spans="2:26" s="4" customFormat="1" x14ac:dyDescent="0.25">
      <c r="B39" s="86" t="s">
        <v>4</v>
      </c>
      <c r="C39" s="8">
        <f t="shared" ref="C39:R39" si="17">C37+C38</f>
        <v>92</v>
      </c>
      <c r="D39" s="8">
        <f t="shared" si="17"/>
        <v>97</v>
      </c>
      <c r="E39" s="8">
        <f t="shared" si="17"/>
        <v>102</v>
      </c>
      <c r="F39" s="8">
        <f t="shared" si="17"/>
        <v>106</v>
      </c>
      <c r="G39" s="8">
        <f t="shared" si="17"/>
        <v>108</v>
      </c>
      <c r="H39" s="8">
        <f t="shared" si="17"/>
        <v>105</v>
      </c>
      <c r="I39" s="8">
        <f t="shared" si="17"/>
        <v>90</v>
      </c>
      <c r="J39" s="8">
        <f t="shared" si="17"/>
        <v>73</v>
      </c>
      <c r="K39" s="8">
        <f t="shared" si="17"/>
        <v>64</v>
      </c>
      <c r="L39" s="8">
        <f t="shared" si="17"/>
        <v>65</v>
      </c>
      <c r="M39" s="8">
        <f t="shared" si="17"/>
        <v>67</v>
      </c>
      <c r="N39" s="8">
        <f t="shared" si="17"/>
        <v>69</v>
      </c>
      <c r="O39" s="8">
        <f t="shared" si="17"/>
        <v>74</v>
      </c>
      <c r="P39" s="8">
        <f t="shared" si="17"/>
        <v>75</v>
      </c>
      <c r="Q39" s="8">
        <f t="shared" si="17"/>
        <v>60</v>
      </c>
      <c r="R39" s="8">
        <f t="shared" si="17"/>
        <v>60</v>
      </c>
      <c r="S39" s="112"/>
      <c r="T39" s="100"/>
      <c r="U39" s="155"/>
    </row>
    <row r="40" spans="2:26" s="4" customFormat="1" x14ac:dyDescent="0.25">
      <c r="B40" s="86" t="s">
        <v>133</v>
      </c>
      <c r="C40" s="152">
        <f>C32-C34</f>
        <v>315.58645360000003</v>
      </c>
      <c r="D40" s="152">
        <f t="shared" ref="D40:R40" si="18">D32-D34</f>
        <v>250.7977975</v>
      </c>
      <c r="E40" s="152">
        <f t="shared" si="18"/>
        <v>234.0911236</v>
      </c>
      <c r="F40" s="152">
        <f t="shared" si="18"/>
        <v>105.40185410000001</v>
      </c>
      <c r="G40" s="152">
        <f>G32-G34</f>
        <v>72.051147100000009</v>
      </c>
      <c r="H40" s="152">
        <f t="shared" si="18"/>
        <v>74.015495399999992</v>
      </c>
      <c r="I40" s="152">
        <f t="shared" si="18"/>
        <v>64.093295299999994</v>
      </c>
      <c r="J40" s="152">
        <f t="shared" si="18"/>
        <v>43.301793500000002</v>
      </c>
      <c r="K40" s="152">
        <f t="shared" si="18"/>
        <v>36.390017099999994</v>
      </c>
      <c r="L40" s="152">
        <f t="shared" si="18"/>
        <v>34.097356379999994</v>
      </c>
      <c r="M40" s="152">
        <f t="shared" si="18"/>
        <v>35.555049600000004</v>
      </c>
      <c r="N40" s="152">
        <f t="shared" si="18"/>
        <v>40.275458499999999</v>
      </c>
      <c r="O40" s="152">
        <f t="shared" si="18"/>
        <v>44.218186099999997</v>
      </c>
      <c r="P40" s="152">
        <f t="shared" si="18"/>
        <v>44.636585600000004</v>
      </c>
      <c r="Q40" s="152">
        <f t="shared" si="18"/>
        <v>49.726156500000002</v>
      </c>
      <c r="R40" s="152">
        <f t="shared" si="18"/>
        <v>64.693781599999994</v>
      </c>
      <c r="S40" s="112"/>
      <c r="T40" s="100"/>
      <c r="U40" s="155"/>
    </row>
    <row r="41" spans="2:26" ht="15.75" thickBot="1" x14ac:dyDescent="0.3">
      <c r="B41" s="59" t="s">
        <v>64</v>
      </c>
      <c r="C41" s="3">
        <f>IF(C42&gt;0,10,0)</f>
        <v>0</v>
      </c>
      <c r="D41" s="3">
        <f t="shared" ref="D41:J41" si="19">IF(D42&gt;0,10,0)</f>
        <v>0</v>
      </c>
      <c r="E41" s="3">
        <f t="shared" si="19"/>
        <v>0</v>
      </c>
      <c r="F41" s="3">
        <f t="shared" si="19"/>
        <v>10</v>
      </c>
      <c r="G41" s="3">
        <f t="shared" si="19"/>
        <v>10</v>
      </c>
      <c r="H41" s="3">
        <f t="shared" si="19"/>
        <v>10</v>
      </c>
      <c r="I41" s="3">
        <f t="shared" si="19"/>
        <v>10</v>
      </c>
      <c r="J41" s="3">
        <f t="shared" si="19"/>
        <v>10</v>
      </c>
      <c r="K41" s="3">
        <f>IF(K42&gt;0,7,0)</f>
        <v>7</v>
      </c>
      <c r="L41" s="3">
        <f t="shared" ref="L41:R41" si="20">IF(L42&gt;0,7,0)</f>
        <v>7</v>
      </c>
      <c r="M41" s="3">
        <f t="shared" si="20"/>
        <v>7</v>
      </c>
      <c r="N41" s="3">
        <f t="shared" si="20"/>
        <v>7</v>
      </c>
      <c r="O41" s="3">
        <f t="shared" si="20"/>
        <v>7</v>
      </c>
      <c r="P41" s="3">
        <f t="shared" si="20"/>
        <v>7</v>
      </c>
      <c r="Q41" s="3">
        <f t="shared" si="20"/>
        <v>7</v>
      </c>
      <c r="R41" s="3">
        <f t="shared" si="20"/>
        <v>7</v>
      </c>
      <c r="T41" s="101" t="s">
        <v>118</v>
      </c>
      <c r="U41" s="139">
        <f>SUM(C41:R41)*15*1.9835</f>
        <v>3153.7649999999999</v>
      </c>
      <c r="V41" s="11" t="s">
        <v>123</v>
      </c>
      <c r="W41" s="11"/>
      <c r="X41" s="11"/>
      <c r="Y41" s="11"/>
    </row>
    <row r="42" spans="2:26" s="30" customFormat="1" ht="15.75" thickBot="1" x14ac:dyDescent="0.3">
      <c r="B42" s="72" t="s">
        <v>112</v>
      </c>
      <c r="C42" s="46">
        <v>0</v>
      </c>
      <c r="D42" s="46">
        <v>0</v>
      </c>
      <c r="E42" s="46">
        <v>0</v>
      </c>
      <c r="F42" s="46">
        <v>41</v>
      </c>
      <c r="G42" s="46">
        <v>108</v>
      </c>
      <c r="H42" s="46">
        <v>85</v>
      </c>
      <c r="I42" s="46">
        <v>71</v>
      </c>
      <c r="J42" s="46">
        <v>70</v>
      </c>
      <c r="K42" s="46">
        <v>64</v>
      </c>
      <c r="L42" s="46">
        <v>65</v>
      </c>
      <c r="M42" s="46">
        <v>67</v>
      </c>
      <c r="N42" s="46">
        <v>68</v>
      </c>
      <c r="O42" s="46">
        <v>50</v>
      </c>
      <c r="P42" s="46">
        <v>52</v>
      </c>
      <c r="Q42" s="46">
        <v>38</v>
      </c>
      <c r="R42" s="46">
        <v>27</v>
      </c>
      <c r="S42" s="105"/>
      <c r="T42" s="100" t="str">
        <f>'50% Exceedance Baseline'!T42</f>
        <v>Flow input between Mgt. Pt. 1 and Mgt. Pt. 2</v>
      </c>
      <c r="U42" s="29"/>
    </row>
    <row r="43" spans="2:26" s="128" customFormat="1" x14ac:dyDescent="0.25">
      <c r="B43" s="79" t="s">
        <v>7</v>
      </c>
      <c r="C43" s="16">
        <f>IF(C57&gt;C56,((C57-C56)*-1),((C56-C57)))</f>
        <v>129.75</v>
      </c>
      <c r="D43" s="16">
        <f t="shared" ref="D43:E43" si="21">IF(D57&gt;D56,((D57-D56)*-1),((D56-D57)))</f>
        <v>77.25</v>
      </c>
      <c r="E43" s="16">
        <f t="shared" si="21"/>
        <v>61.5</v>
      </c>
      <c r="F43" s="16">
        <f>IF(F57&gt;F56,((F57-F56)*-1),((F56-F57)))</f>
        <v>0.28999999999999204</v>
      </c>
      <c r="G43" s="16">
        <f>IF(G57&gt;G56,((G57-G56)*-1),((G56-G57)))</f>
        <v>16.853425469999991</v>
      </c>
      <c r="H43" s="16">
        <f t="shared" ref="H43:R43" si="22">IF(H57&gt;H56,((H57-H56)*-1),((H56-H57)))</f>
        <v>22.054954629999997</v>
      </c>
      <c r="I43" s="16">
        <f t="shared" si="22"/>
        <v>27.687835520000007</v>
      </c>
      <c r="J43" s="16">
        <f t="shared" si="22"/>
        <v>27.062286459999996</v>
      </c>
      <c r="K43" s="16">
        <f t="shared" si="22"/>
        <v>67.621497110000007</v>
      </c>
      <c r="L43" s="16">
        <f t="shared" si="22"/>
        <v>65.37111311000001</v>
      </c>
      <c r="M43" s="16">
        <f t="shared" si="22"/>
        <v>25.962395839999999</v>
      </c>
      <c r="N43" s="16">
        <f t="shared" si="22"/>
        <v>24.584833339999989</v>
      </c>
      <c r="O43" s="16">
        <f t="shared" si="22"/>
        <v>18.97338542</v>
      </c>
      <c r="P43" s="16">
        <f t="shared" si="22"/>
        <v>25.380871490000004</v>
      </c>
      <c r="Q43" s="16">
        <f t="shared" si="22"/>
        <v>20.230371560000009</v>
      </c>
      <c r="R43" s="14">
        <f t="shared" si="22"/>
        <v>27.957124999999991</v>
      </c>
      <c r="S43" s="18"/>
      <c r="T43" s="100" t="str">
        <f>'50% Exceedance Baseline'!T43</f>
        <v>Flow target surplus or deficit after input</v>
      </c>
      <c r="U43" s="127"/>
      <c r="Z43" s="129"/>
    </row>
    <row r="44" spans="2:26" s="5" customFormat="1" ht="15.75" thickBot="1" x14ac:dyDescent="0.3">
      <c r="B44" s="135" t="s">
        <v>115</v>
      </c>
      <c r="C44" s="136">
        <f t="shared" ref="C44:R44" si="23">C42*15*1.9835</f>
        <v>0</v>
      </c>
      <c r="D44" s="136">
        <f t="shared" si="23"/>
        <v>0</v>
      </c>
      <c r="E44" s="136">
        <f t="shared" si="23"/>
        <v>0</v>
      </c>
      <c r="F44" s="136">
        <f>F42*15*1.9835</f>
        <v>1219.8525</v>
      </c>
      <c r="G44" s="136">
        <f>G42*15*1.9835</f>
        <v>3213.27</v>
      </c>
      <c r="H44" s="136">
        <f t="shared" si="23"/>
        <v>2528.9625000000001</v>
      </c>
      <c r="I44" s="136">
        <f t="shared" si="23"/>
        <v>2112.4275000000002</v>
      </c>
      <c r="J44" s="136">
        <f t="shared" si="23"/>
        <v>2082.6750000000002</v>
      </c>
      <c r="K44" s="136">
        <f t="shared" si="23"/>
        <v>1904.16</v>
      </c>
      <c r="L44" s="136">
        <f t="shared" si="23"/>
        <v>1933.9125000000001</v>
      </c>
      <c r="M44" s="136">
        <f t="shared" si="23"/>
        <v>1993.4175</v>
      </c>
      <c r="N44" s="136">
        <f t="shared" si="23"/>
        <v>2023.17</v>
      </c>
      <c r="O44" s="136">
        <f t="shared" si="23"/>
        <v>1487.625</v>
      </c>
      <c r="P44" s="136">
        <f t="shared" si="23"/>
        <v>1547.13</v>
      </c>
      <c r="Q44" s="136">
        <f t="shared" si="23"/>
        <v>1130.595</v>
      </c>
      <c r="R44" s="137">
        <f t="shared" si="23"/>
        <v>803.3175</v>
      </c>
      <c r="S44" s="18"/>
      <c r="T44" s="101" t="s">
        <v>118</v>
      </c>
      <c r="U44" s="139">
        <f>SUM(C44:R44)</f>
        <v>23980.515000000007</v>
      </c>
    </row>
    <row r="45" spans="2:26" ht="15.75" thickBot="1" x14ac:dyDescent="0.3">
      <c r="B45" s="73" t="s">
        <v>126</v>
      </c>
      <c r="C45" s="46">
        <v>0</v>
      </c>
      <c r="D45" s="46">
        <v>0</v>
      </c>
      <c r="E45" s="46">
        <v>0</v>
      </c>
      <c r="F45" s="46">
        <v>0</v>
      </c>
      <c r="G45" s="46">
        <v>31</v>
      </c>
      <c r="H45" s="46">
        <v>6</v>
      </c>
      <c r="I45" s="46">
        <v>0</v>
      </c>
      <c r="J45" s="46">
        <v>0</v>
      </c>
      <c r="K45" s="46">
        <v>47</v>
      </c>
      <c r="L45" s="46">
        <v>45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105"/>
      <c r="T45" s="100" t="str">
        <f>'50% Exceedance Baseline'!T45</f>
        <v>Flow input between Mgt. Pt. 1 and Mgt. Pt. 2</v>
      </c>
    </row>
    <row r="46" spans="2:26" s="12" customFormat="1" x14ac:dyDescent="0.25">
      <c r="B46" s="79" t="s">
        <v>7</v>
      </c>
      <c r="C46" s="16">
        <f>IF(C57&gt;C56,((C57-C56)*-1),((C56-C57)))</f>
        <v>129.75</v>
      </c>
      <c r="D46" s="16">
        <f t="shared" ref="D46:R46" si="24">IF(D57&gt;D56,((D57-D56)*-1),((D56-D57)))</f>
        <v>77.25</v>
      </c>
      <c r="E46" s="16">
        <f t="shared" si="24"/>
        <v>61.5</v>
      </c>
      <c r="F46" s="16">
        <f t="shared" si="24"/>
        <v>0.28999999999999204</v>
      </c>
      <c r="G46" s="16">
        <f t="shared" si="24"/>
        <v>16.853425469999991</v>
      </c>
      <c r="H46" s="16">
        <f t="shared" si="24"/>
        <v>22.054954629999997</v>
      </c>
      <c r="I46" s="16">
        <f t="shared" si="24"/>
        <v>27.687835520000007</v>
      </c>
      <c r="J46" s="16">
        <f t="shared" si="24"/>
        <v>27.062286459999996</v>
      </c>
      <c r="K46" s="16">
        <f t="shared" si="24"/>
        <v>67.621497110000007</v>
      </c>
      <c r="L46" s="16">
        <f t="shared" si="24"/>
        <v>65.37111311000001</v>
      </c>
      <c r="M46" s="16">
        <f t="shared" si="24"/>
        <v>25.962395839999999</v>
      </c>
      <c r="N46" s="16">
        <f t="shared" si="24"/>
        <v>24.584833339999989</v>
      </c>
      <c r="O46" s="16">
        <f t="shared" si="24"/>
        <v>18.97338542</v>
      </c>
      <c r="P46" s="16">
        <f t="shared" si="24"/>
        <v>25.380871490000004</v>
      </c>
      <c r="Q46" s="16">
        <f t="shared" si="24"/>
        <v>20.230371560000009</v>
      </c>
      <c r="R46" s="14">
        <f t="shared" si="24"/>
        <v>27.957124999999991</v>
      </c>
      <c r="S46" s="18"/>
      <c r="T46" s="100" t="str">
        <f>'50% Exceedance Baseline'!T46</f>
        <v>Flow target surplus or deficit after input</v>
      </c>
      <c r="U46" s="13"/>
    </row>
    <row r="47" spans="2:26" s="138" customFormat="1" thickBot="1" x14ac:dyDescent="0.35">
      <c r="B47" s="135" t="s">
        <v>115</v>
      </c>
      <c r="C47" s="136">
        <f t="shared" ref="C47:R47" si="25">C45*15*1.9835</f>
        <v>0</v>
      </c>
      <c r="D47" s="136">
        <f t="shared" si="25"/>
        <v>0</v>
      </c>
      <c r="E47" s="136">
        <f t="shared" si="25"/>
        <v>0</v>
      </c>
      <c r="F47" s="136">
        <f t="shared" si="25"/>
        <v>0</v>
      </c>
      <c r="G47" s="136">
        <f>G45*15*1.9835</f>
        <v>922.32749999999999</v>
      </c>
      <c r="H47" s="136">
        <f t="shared" si="25"/>
        <v>178.51500000000001</v>
      </c>
      <c r="I47" s="136">
        <f t="shared" si="25"/>
        <v>0</v>
      </c>
      <c r="J47" s="136">
        <f t="shared" si="25"/>
        <v>0</v>
      </c>
      <c r="K47" s="136">
        <f t="shared" si="25"/>
        <v>1398.3675000000001</v>
      </c>
      <c r="L47" s="136">
        <f t="shared" si="25"/>
        <v>1338.8625</v>
      </c>
      <c r="M47" s="136">
        <f t="shared" si="25"/>
        <v>0</v>
      </c>
      <c r="N47" s="136">
        <f t="shared" si="25"/>
        <v>0</v>
      </c>
      <c r="O47" s="136">
        <f t="shared" si="25"/>
        <v>0</v>
      </c>
      <c r="P47" s="136">
        <f t="shared" si="25"/>
        <v>0</v>
      </c>
      <c r="Q47" s="136">
        <f t="shared" si="25"/>
        <v>0</v>
      </c>
      <c r="R47" s="137">
        <f t="shared" si="25"/>
        <v>0</v>
      </c>
      <c r="S47" s="136"/>
      <c r="T47" s="101" t="s">
        <v>118</v>
      </c>
      <c r="U47" s="139">
        <f>SUM(C47:R47)</f>
        <v>3838.0725000000002</v>
      </c>
    </row>
    <row r="48" spans="2:26" thickBot="1" x14ac:dyDescent="0.35">
      <c r="B48" s="73" t="s">
        <v>60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121">
        <v>0</v>
      </c>
      <c r="R48" s="46">
        <v>0</v>
      </c>
      <c r="S48" s="105"/>
      <c r="T48" s="100" t="str">
        <f>'50% Exceedance Baseline'!T48</f>
        <v>Flow input between Mgt. Pt. 1 and Mgt. Pt. 2</v>
      </c>
    </row>
    <row r="49" spans="2:21" ht="14.45" x14ac:dyDescent="0.3">
      <c r="B49" s="79" t="s">
        <v>7</v>
      </c>
      <c r="C49" s="16">
        <f>IF(C57&gt;C56,((C57-C56)*-1),((C56-C57)))</f>
        <v>129.75</v>
      </c>
      <c r="D49" s="16">
        <f t="shared" ref="D49:R49" si="26">IF(D57&gt;D56,((D57-D56)*-1),((D56-D57)))</f>
        <v>77.25</v>
      </c>
      <c r="E49" s="16">
        <f t="shared" si="26"/>
        <v>61.5</v>
      </c>
      <c r="F49" s="16">
        <f t="shared" si="26"/>
        <v>0.28999999999999204</v>
      </c>
      <c r="G49" s="16">
        <f t="shared" si="26"/>
        <v>16.853425469999991</v>
      </c>
      <c r="H49" s="16">
        <f t="shared" si="26"/>
        <v>22.054954629999997</v>
      </c>
      <c r="I49" s="16">
        <f t="shared" si="26"/>
        <v>27.687835520000007</v>
      </c>
      <c r="J49" s="16">
        <f t="shared" si="26"/>
        <v>27.062286459999996</v>
      </c>
      <c r="K49" s="16">
        <f t="shared" si="26"/>
        <v>67.621497110000007</v>
      </c>
      <c r="L49" s="16">
        <f t="shared" si="26"/>
        <v>65.37111311000001</v>
      </c>
      <c r="M49" s="16">
        <f t="shared" si="26"/>
        <v>25.962395839999999</v>
      </c>
      <c r="N49" s="16">
        <f t="shared" si="26"/>
        <v>24.584833339999989</v>
      </c>
      <c r="O49" s="16">
        <f t="shared" si="26"/>
        <v>18.97338542</v>
      </c>
      <c r="P49" s="16">
        <f t="shared" si="26"/>
        <v>25.380871490000004</v>
      </c>
      <c r="Q49" s="16">
        <f t="shared" si="26"/>
        <v>20.230371560000009</v>
      </c>
      <c r="R49" s="14">
        <f t="shared" si="26"/>
        <v>27.957124999999991</v>
      </c>
      <c r="S49" s="18"/>
      <c r="T49" s="100" t="str">
        <f>'50% Exceedance Baseline'!T49</f>
        <v>Flow target surplus or deficit after input</v>
      </c>
    </row>
    <row r="50" spans="2:21" ht="14.45" x14ac:dyDescent="0.3">
      <c r="B50" s="81" t="s">
        <v>21</v>
      </c>
      <c r="C50" s="18">
        <f t="shared" ref="C50:N50" si="27">SUM(C42+C45+C48)</f>
        <v>0</v>
      </c>
      <c r="D50" s="18">
        <f t="shared" si="27"/>
        <v>0</v>
      </c>
      <c r="E50" s="18">
        <f t="shared" si="27"/>
        <v>0</v>
      </c>
      <c r="F50" s="18">
        <f t="shared" si="27"/>
        <v>41</v>
      </c>
      <c r="G50" s="18">
        <f>SUM(G42+G45+G48)</f>
        <v>139</v>
      </c>
      <c r="H50" s="18">
        <f t="shared" si="27"/>
        <v>91</v>
      </c>
      <c r="I50" s="18">
        <f t="shared" si="27"/>
        <v>71</v>
      </c>
      <c r="J50" s="18">
        <f t="shared" si="27"/>
        <v>70</v>
      </c>
      <c r="K50" s="18">
        <f t="shared" si="27"/>
        <v>111</v>
      </c>
      <c r="L50" s="18">
        <f t="shared" si="27"/>
        <v>110</v>
      </c>
      <c r="M50" s="18">
        <f t="shared" si="27"/>
        <v>67</v>
      </c>
      <c r="N50" s="18">
        <f t="shared" si="27"/>
        <v>68</v>
      </c>
      <c r="O50" s="18">
        <f>SUM(O42+O45+O48)</f>
        <v>50</v>
      </c>
      <c r="P50" s="18">
        <f>SUM(P42+P45+P48)</f>
        <v>52</v>
      </c>
      <c r="Q50" s="18">
        <f>SUM(Q42+Q45+Q48)</f>
        <v>38</v>
      </c>
      <c r="R50" s="17">
        <f>SUM(R42+R45+R48)</f>
        <v>27</v>
      </c>
      <c r="S50" s="18"/>
      <c r="T50" s="100" t="str">
        <f>'50% Exceedance Baseline'!T50</f>
        <v>Subtotal of all inputs in Milton-Freewater to Nursery Bridge reach</v>
      </c>
    </row>
    <row r="51" spans="2:21" thickBot="1" x14ac:dyDescent="0.35">
      <c r="B51" s="80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7"/>
      <c r="S51" s="18"/>
    </row>
    <row r="52" spans="2:21" s="64" customFormat="1" thickBot="1" x14ac:dyDescent="0.35">
      <c r="B52" s="70" t="s">
        <v>69</v>
      </c>
      <c r="C52" s="69">
        <f>'50% Exceedance Baseline'!C52</f>
        <v>-0.06</v>
      </c>
      <c r="D52" s="69">
        <f>'50% Exceedance Baseline'!D52</f>
        <v>-0.06</v>
      </c>
      <c r="E52" s="69">
        <f>'50% Exceedance Baseline'!E52</f>
        <v>-0.06</v>
      </c>
      <c r="F52" s="69">
        <f>'50% Exceedance Baseline'!F52</f>
        <v>-0.06</v>
      </c>
      <c r="G52" s="69">
        <f>'50% Exceedance Baseline'!G52</f>
        <v>-0.06</v>
      </c>
      <c r="H52" s="69">
        <f>'50% Exceedance Baseline'!H52</f>
        <v>-0.06</v>
      </c>
      <c r="I52" s="69">
        <f>'50% Exceedance Baseline'!I52</f>
        <v>-9.9000000000000005E-2</v>
      </c>
      <c r="J52" s="69">
        <f>'50% Exceedance Baseline'!J52</f>
        <v>-9.9000000000000005E-2</v>
      </c>
      <c r="K52" s="69">
        <f>'50% Exceedance Baseline'!K52</f>
        <v>-0.09</v>
      </c>
      <c r="L52" s="69">
        <f>'50% Exceedance Baseline'!L52</f>
        <v>-0.09</v>
      </c>
      <c r="M52" s="69">
        <f>'50% Exceedance Baseline'!M52</f>
        <v>-0.13700000000000001</v>
      </c>
      <c r="N52" s="69">
        <f>'50% Exceedance Baseline'!N52</f>
        <v>-0.13700000000000001</v>
      </c>
      <c r="O52" s="82">
        <f>'50% Exceedance Baseline'!O52</f>
        <v>6.0000000000000001E-3</v>
      </c>
      <c r="P52" s="82">
        <f>'50% Exceedance Baseline'!P52</f>
        <v>6.0000000000000001E-3</v>
      </c>
      <c r="Q52" s="69">
        <f>'50% Exceedance Baseline'!Q52</f>
        <v>-5.8999999999999997E-2</v>
      </c>
      <c r="R52" s="69">
        <f>'50% Exceedance Baseline'!R52</f>
        <v>-5.8999999999999997E-2</v>
      </c>
      <c r="S52" s="107"/>
      <c r="T52" s="100" t="str">
        <f>'50% Exceedance Baseline'!T52</f>
        <v>Percentage total inputs lost or gained due to streambed hydrology (2002-2015 WWBWC seepage data)</v>
      </c>
      <c r="U52" s="83"/>
    </row>
    <row r="53" spans="2:21" ht="14.45" x14ac:dyDescent="0.3">
      <c r="B53" s="84" t="s">
        <v>20</v>
      </c>
      <c r="C53" s="57">
        <f t="shared" ref="C53:R53" si="28">SUM(C50+C30)*(1+C52)</f>
        <v>0</v>
      </c>
      <c r="D53" s="57">
        <f t="shared" si="28"/>
        <v>0</v>
      </c>
      <c r="E53" s="57">
        <f t="shared" si="28"/>
        <v>0</v>
      </c>
      <c r="F53" s="57">
        <f t="shared" si="28"/>
        <v>38.54</v>
      </c>
      <c r="G53" s="57">
        <f t="shared" si="28"/>
        <v>130.66</v>
      </c>
      <c r="H53" s="57">
        <f t="shared" si="28"/>
        <v>85.539999999999992</v>
      </c>
      <c r="I53" s="57">
        <f t="shared" si="28"/>
        <v>63.971000000000004</v>
      </c>
      <c r="J53" s="57">
        <f t="shared" si="28"/>
        <v>63.07</v>
      </c>
      <c r="K53" s="57">
        <f t="shared" si="28"/>
        <v>101.01</v>
      </c>
      <c r="L53" s="57">
        <f t="shared" si="28"/>
        <v>100.10000000000001</v>
      </c>
      <c r="M53" s="57">
        <f t="shared" si="28"/>
        <v>57.820999999999998</v>
      </c>
      <c r="N53" s="57">
        <f t="shared" si="28"/>
        <v>58.683999999999997</v>
      </c>
      <c r="O53" s="57">
        <f t="shared" si="28"/>
        <v>50.3</v>
      </c>
      <c r="P53" s="57">
        <f t="shared" si="28"/>
        <v>52.311999999999998</v>
      </c>
      <c r="Q53" s="57">
        <f t="shared" si="28"/>
        <v>35.758000000000003</v>
      </c>
      <c r="R53" s="58">
        <f t="shared" si="28"/>
        <v>25.407</v>
      </c>
      <c r="S53" s="110"/>
      <c r="T53" s="100" t="str">
        <f>'50% Exceedance Baseline'!T53</f>
        <v>Total of all upstream input flow adjusted for streambed loss or gain</v>
      </c>
    </row>
    <row r="54" spans="2:21" thickBot="1" x14ac:dyDescent="0.35">
      <c r="B54" s="7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3"/>
      <c r="S54" s="110"/>
    </row>
    <row r="55" spans="2:21" thickBot="1" x14ac:dyDescent="0.35">
      <c r="B55" s="24" t="s">
        <v>53</v>
      </c>
      <c r="C55" s="50">
        <f>'50% Exceedance Baseline'!C55</f>
        <v>279.75</v>
      </c>
      <c r="D55" s="50">
        <f>'50% Exceedance Baseline'!D55</f>
        <v>227.25</v>
      </c>
      <c r="E55" s="50">
        <f>'50% Exceedance Baseline'!E55</f>
        <v>211.5</v>
      </c>
      <c r="F55" s="50">
        <f>'50% Exceedance Baseline'!F55</f>
        <v>111.75</v>
      </c>
      <c r="G55" s="132">
        <f>'50% Exceedance Baseline'!G55</f>
        <v>36.193425470000001</v>
      </c>
      <c r="H55" s="132">
        <f>'50% Exceedance Baseline'!H55</f>
        <v>36.514954629999998</v>
      </c>
      <c r="I55" s="132">
        <f>'50% Exceedance Baseline'!I55</f>
        <v>28.71683552</v>
      </c>
      <c r="J55" s="132">
        <f>'50% Exceedance Baseline'!J55</f>
        <v>28.992286459999999</v>
      </c>
      <c r="K55" s="132">
        <f>'50% Exceedance Baseline'!K55</f>
        <v>31.611497109999998</v>
      </c>
      <c r="L55" s="132">
        <f>'50% Exceedance Baseline'!L55</f>
        <v>30.271113110000002</v>
      </c>
      <c r="M55" s="132">
        <f>'50% Exceedance Baseline'!M55</f>
        <v>33.141395840000001</v>
      </c>
      <c r="N55" s="132">
        <f>'50% Exceedance Baseline'!N55</f>
        <v>30.900833339999998</v>
      </c>
      <c r="O55" s="132">
        <f>'50% Exceedance Baseline'!O55</f>
        <v>33.673385420000002</v>
      </c>
      <c r="P55" s="132">
        <f>'50% Exceedance Baseline'!P55</f>
        <v>38.068871489999999</v>
      </c>
      <c r="Q55" s="132">
        <f>'50% Exceedance Baseline'!Q55</f>
        <v>49.472371559999999</v>
      </c>
      <c r="R55" s="132">
        <f>'50% Exceedance Baseline'!R55</f>
        <v>67.550124999999994</v>
      </c>
      <c r="S55" s="19"/>
      <c r="T55" s="100" t="str">
        <f>'50% Exceedance Baseline'!T55</f>
        <v>Median flow data at S-106 gage (2002-2016; April - May estimated)</v>
      </c>
    </row>
    <row r="56" spans="2:21" ht="14.45" x14ac:dyDescent="0.3">
      <c r="B56" s="47" t="s">
        <v>37</v>
      </c>
      <c r="C56" s="48">
        <f>C55+C53</f>
        <v>279.75</v>
      </c>
      <c r="D56" s="48">
        <f t="shared" ref="D56:E56" si="29">D55+D53</f>
        <v>227.25</v>
      </c>
      <c r="E56" s="48">
        <f t="shared" si="29"/>
        <v>211.5</v>
      </c>
      <c r="F56" s="48">
        <f>F55+F53</f>
        <v>150.29</v>
      </c>
      <c r="G56" s="48">
        <f>G55+G53</f>
        <v>166.85342546999999</v>
      </c>
      <c r="H56" s="48">
        <f t="shared" ref="H56" si="30">H55+H53</f>
        <v>122.05495463</v>
      </c>
      <c r="I56" s="48">
        <f>I55+I53</f>
        <v>92.687835520000007</v>
      </c>
      <c r="J56" s="48">
        <f t="shared" ref="J56:N56" si="31">J55+J53</f>
        <v>92.062286459999996</v>
      </c>
      <c r="K56" s="48">
        <f t="shared" si="31"/>
        <v>132.62149711000001</v>
      </c>
      <c r="L56" s="48">
        <f t="shared" si="31"/>
        <v>130.37111311000001</v>
      </c>
      <c r="M56" s="48">
        <f t="shared" si="31"/>
        <v>90.962395839999999</v>
      </c>
      <c r="N56" s="48">
        <f t="shared" si="31"/>
        <v>89.584833339999989</v>
      </c>
      <c r="O56" s="48">
        <f>O55+O53</f>
        <v>83.97338542</v>
      </c>
      <c r="P56" s="48">
        <f>P55+P53</f>
        <v>90.380871490000004</v>
      </c>
      <c r="Q56" s="48">
        <f>Q55+Q53</f>
        <v>85.230371560000009</v>
      </c>
      <c r="R56" s="49">
        <f>R55+R53</f>
        <v>92.957124999999991</v>
      </c>
      <c r="S56" s="111"/>
      <c r="T56" s="100" t="str">
        <f>'50% Exceedance Baseline'!T56</f>
        <v>Flow gage data plus cumulative inputs adjusted for streambed loss or gain</v>
      </c>
    </row>
    <row r="57" spans="2:21" s="4" customFormat="1" ht="14.45" x14ac:dyDescent="0.3">
      <c r="B57" s="10" t="s">
        <v>8</v>
      </c>
      <c r="C57" s="8">
        <f>$C$16</f>
        <v>150</v>
      </c>
      <c r="D57" s="8">
        <f>$D$16</f>
        <v>150</v>
      </c>
      <c r="E57" s="8">
        <f>$E$16</f>
        <v>150</v>
      </c>
      <c r="F57" s="8">
        <f>$F$16</f>
        <v>150</v>
      </c>
      <c r="G57" s="8">
        <f>$G$16</f>
        <v>150</v>
      </c>
      <c r="H57" s="8">
        <f>$H$16</f>
        <v>100</v>
      </c>
      <c r="I57" s="8">
        <f>$I$16</f>
        <v>65</v>
      </c>
      <c r="J57" s="8">
        <f>$J$16</f>
        <v>65</v>
      </c>
      <c r="K57" s="8">
        <f>$K$16</f>
        <v>65</v>
      </c>
      <c r="L57" s="8">
        <f>$L$16</f>
        <v>65</v>
      </c>
      <c r="M57" s="8">
        <f>$M$16</f>
        <v>65</v>
      </c>
      <c r="N57" s="8">
        <f>$N$16</f>
        <v>65</v>
      </c>
      <c r="O57" s="8">
        <f>$O$16</f>
        <v>65</v>
      </c>
      <c r="P57" s="8">
        <f>$P$16</f>
        <v>65</v>
      </c>
      <c r="Q57" s="8">
        <f>$Q$16</f>
        <v>65</v>
      </c>
      <c r="R57" s="9">
        <f>$R$16</f>
        <v>65</v>
      </c>
      <c r="S57" s="112"/>
      <c r="T57" s="100" t="str">
        <f>'50% Exceedance Baseline'!T57</f>
        <v>Target flows</v>
      </c>
      <c r="U57" s="155"/>
    </row>
    <row r="58" spans="2:21" s="30" customFormat="1" thickBot="1" x14ac:dyDescent="0.35">
      <c r="B58" s="37" t="s">
        <v>10</v>
      </c>
      <c r="C58" s="38">
        <f>IF(C56&gt;C57,0,(C57-C56)*-1)</f>
        <v>0</v>
      </c>
      <c r="D58" s="38">
        <f t="shared" ref="D58:N58" si="32">IF(D56&gt;D57,0,(D57-D56)*-1)</f>
        <v>0</v>
      </c>
      <c r="E58" s="38">
        <f t="shared" si="32"/>
        <v>0</v>
      </c>
      <c r="F58" s="38">
        <f>IF(F56&gt;F57,0,(F57-F56)*-1)</f>
        <v>0</v>
      </c>
      <c r="G58" s="38">
        <f>IF(G56&gt;G57,0,(G57-G56)*-1)</f>
        <v>0</v>
      </c>
      <c r="H58" s="38">
        <f t="shared" si="32"/>
        <v>0</v>
      </c>
      <c r="I58" s="38">
        <f t="shared" si="32"/>
        <v>0</v>
      </c>
      <c r="J58" s="38">
        <f t="shared" si="32"/>
        <v>0</v>
      </c>
      <c r="K58" s="38">
        <f t="shared" si="32"/>
        <v>0</v>
      </c>
      <c r="L58" s="38">
        <f t="shared" si="32"/>
        <v>0</v>
      </c>
      <c r="M58" s="38">
        <f t="shared" si="32"/>
        <v>0</v>
      </c>
      <c r="N58" s="38">
        <f t="shared" si="32"/>
        <v>0</v>
      </c>
      <c r="O58" s="38">
        <f>IF(O56&gt;O57,0,(O57-O56)*-1)</f>
        <v>0</v>
      </c>
      <c r="P58" s="38">
        <f>IF(P56&gt;P57,0,(P57-P56)*-1)</f>
        <v>0</v>
      </c>
      <c r="Q58" s="38">
        <f>IF(Q56&gt;Q57,0,(Q57-Q56)*-1)</f>
        <v>0</v>
      </c>
      <c r="R58" s="39">
        <f>IF(R56&gt;R57,0,(R57-R56)*-1)</f>
        <v>0</v>
      </c>
      <c r="S58" s="105"/>
      <c r="T58" s="100" t="str">
        <f>'50% Exceedance Baseline'!T58</f>
        <v>Deficit between target flows and flow gage data plus total adjusted inputs</v>
      </c>
      <c r="U58" s="29"/>
    </row>
    <row r="59" spans="2:21" s="30" customFormat="1" ht="14.45" x14ac:dyDescent="0.3">
      <c r="B59" s="40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105"/>
      <c r="T59" s="100"/>
      <c r="U59" s="29"/>
    </row>
    <row r="60" spans="2:21" s="15" customFormat="1" thickBot="1" x14ac:dyDescent="0.35">
      <c r="B60" s="60" t="s">
        <v>63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8"/>
      <c r="T60" s="100"/>
      <c r="U60" s="7"/>
    </row>
    <row r="61" spans="2:21" thickBot="1" x14ac:dyDescent="0.35">
      <c r="B61" s="78" t="s">
        <v>5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121">
        <v>0</v>
      </c>
      <c r="R61" s="46">
        <v>0</v>
      </c>
      <c r="S61" s="105"/>
      <c r="T61" s="100" t="str">
        <f>'50% Exceedance Baseline'!T61</f>
        <v>Flow input between Mgt. Pt. 2 and Mgt. Pt. 3</v>
      </c>
    </row>
    <row r="62" spans="2:21" ht="14.45" x14ac:dyDescent="0.3">
      <c r="B62" s="79" t="s">
        <v>7</v>
      </c>
      <c r="C62" s="16">
        <f>IF(C76&gt;C75,((C76-C75)*-1),((C75-C76)))</f>
        <v>145.26822920000001</v>
      </c>
      <c r="D62" s="16">
        <f t="shared" ref="D62:E62" si="33">IF(D76&gt;D75,((D76-D75)*-1),((D75-D76)))</f>
        <v>109.96515360000001</v>
      </c>
      <c r="E62" s="16">
        <f t="shared" si="33"/>
        <v>94.1171875</v>
      </c>
      <c r="F62" s="16">
        <f>IF(F76&gt;F75,((F76-F75)*-1),((F75-F76)))</f>
        <v>47.782325399999991</v>
      </c>
      <c r="G62" s="16">
        <f>IF(G76&gt;G75,((G76-G75)*-1),((G75-G76)))</f>
        <v>28.729580870000007</v>
      </c>
      <c r="H62" s="16">
        <f t="shared" ref="H62:R62" si="34">IF(H76&gt;H75,((H76-H75)*-1),((H75-H76)))</f>
        <v>9.2856955899999889</v>
      </c>
      <c r="I62" s="16">
        <f t="shared" si="34"/>
        <v>0.39788814000000627</v>
      </c>
      <c r="J62" s="16">
        <f t="shared" si="34"/>
        <v>0.5553354200000058</v>
      </c>
      <c r="K62" s="16">
        <f t="shared" si="34"/>
        <v>27.233495840000003</v>
      </c>
      <c r="L62" s="16">
        <f t="shared" si="34"/>
        <v>24.168094910000008</v>
      </c>
      <c r="M62" s="16">
        <f t="shared" si="34"/>
        <v>0.40563072999999861</v>
      </c>
      <c r="N62" s="16">
        <f t="shared" si="34"/>
        <v>0.30071623000000614</v>
      </c>
      <c r="O62" s="16">
        <f t="shared" si="34"/>
        <v>0.20647560999999826</v>
      </c>
      <c r="P62" s="16">
        <f t="shared" si="34"/>
        <v>7.8063807099999991</v>
      </c>
      <c r="Q62" s="16">
        <f t="shared" si="34"/>
        <v>27.554258420000011</v>
      </c>
      <c r="R62" s="14">
        <f t="shared" si="34"/>
        <v>39.204537610000017</v>
      </c>
      <c r="S62" s="18"/>
      <c r="T62" s="100" t="str">
        <f>'50% Exceedance Baseline'!T62</f>
        <v>Flow target surplus or deficit after input</v>
      </c>
    </row>
    <row r="63" spans="2:21" thickBot="1" x14ac:dyDescent="0.35">
      <c r="B63" s="80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7"/>
      <c r="S63" s="18"/>
    </row>
    <row r="64" spans="2:21" s="12" customFormat="1" ht="15.75" thickBot="1" x14ac:dyDescent="0.3">
      <c r="B64" s="73" t="s">
        <v>6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121">
        <v>0</v>
      </c>
      <c r="R64" s="46">
        <v>0</v>
      </c>
      <c r="S64" s="105"/>
      <c r="T64" s="100" t="str">
        <f>'50% Exceedance Baseline'!T64</f>
        <v>Flow input between Mgt. Pt. 2 and Mgt. Pt. 3</v>
      </c>
      <c r="U64" s="13"/>
    </row>
    <row r="65" spans="2:21" s="4" customFormat="1" x14ac:dyDescent="0.25">
      <c r="B65" s="79" t="s">
        <v>7</v>
      </c>
      <c r="C65" s="16">
        <f>IF(C76&gt;C75,((C76-C75)*-1),((C75-C76)))</f>
        <v>145.26822920000001</v>
      </c>
      <c r="D65" s="16">
        <f t="shared" ref="D65:R65" si="35">IF(D76&gt;D75,((D76-D75)*-1),((D75-D76)))</f>
        <v>109.96515360000001</v>
      </c>
      <c r="E65" s="16">
        <f t="shared" si="35"/>
        <v>94.1171875</v>
      </c>
      <c r="F65" s="16">
        <f t="shared" si="35"/>
        <v>47.782325399999991</v>
      </c>
      <c r="G65" s="16">
        <f t="shared" si="35"/>
        <v>28.729580870000007</v>
      </c>
      <c r="H65" s="16">
        <f t="shared" si="35"/>
        <v>9.2856955899999889</v>
      </c>
      <c r="I65" s="16">
        <f t="shared" si="35"/>
        <v>0.39788814000000627</v>
      </c>
      <c r="J65" s="16">
        <f t="shared" si="35"/>
        <v>0.5553354200000058</v>
      </c>
      <c r="K65" s="16">
        <f t="shared" si="35"/>
        <v>27.233495840000003</v>
      </c>
      <c r="L65" s="16">
        <f t="shared" si="35"/>
        <v>24.168094910000008</v>
      </c>
      <c r="M65" s="16">
        <f t="shared" si="35"/>
        <v>0.40563072999999861</v>
      </c>
      <c r="N65" s="16">
        <f t="shared" si="35"/>
        <v>0.30071623000000614</v>
      </c>
      <c r="O65" s="16">
        <f t="shared" si="35"/>
        <v>0.20647560999999826</v>
      </c>
      <c r="P65" s="16">
        <f t="shared" si="35"/>
        <v>7.8063807099999991</v>
      </c>
      <c r="Q65" s="16">
        <f t="shared" si="35"/>
        <v>27.554258420000011</v>
      </c>
      <c r="R65" s="14">
        <f t="shared" si="35"/>
        <v>39.204537610000017</v>
      </c>
      <c r="S65" s="18"/>
      <c r="T65" s="100" t="str">
        <f>'50% Exceedance Baseline'!T65</f>
        <v>Flow target surplus or deficit after input</v>
      </c>
      <c r="U65" s="155"/>
    </row>
    <row r="66" spans="2:21" s="4" customFormat="1" ht="15.75" thickBot="1" x14ac:dyDescent="0.3">
      <c r="B66" s="80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7"/>
      <c r="S66" s="18"/>
      <c r="T66" s="100"/>
      <c r="U66" s="155"/>
    </row>
    <row r="67" spans="2:21" ht="15.75" thickBot="1" x14ac:dyDescent="0.3">
      <c r="B67" s="73" t="s">
        <v>60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121">
        <v>0</v>
      </c>
      <c r="R67" s="46">
        <v>0</v>
      </c>
      <c r="S67" s="105"/>
      <c r="T67" s="100" t="str">
        <f>'50% Exceedance Baseline'!T67</f>
        <v>Flow input between Mgt. Pt. 2 and Mgt. Pt. 3</v>
      </c>
    </row>
    <row r="68" spans="2:21" s="4" customFormat="1" x14ac:dyDescent="0.25">
      <c r="B68" s="79" t="s">
        <v>7</v>
      </c>
      <c r="C68" s="16">
        <f>IF(C76&gt;C75,((C76-C75)*-1),((C75-C76)))</f>
        <v>145.26822920000001</v>
      </c>
      <c r="D68" s="16">
        <f t="shared" ref="D68:R68" si="36">IF(D76&gt;D75,((D76-D75)*-1),((D75-D76)))</f>
        <v>109.96515360000001</v>
      </c>
      <c r="E68" s="16">
        <f t="shared" si="36"/>
        <v>94.1171875</v>
      </c>
      <c r="F68" s="16">
        <f t="shared" si="36"/>
        <v>47.782325399999991</v>
      </c>
      <c r="G68" s="16">
        <f t="shared" si="36"/>
        <v>28.729580870000007</v>
      </c>
      <c r="H68" s="16">
        <f t="shared" si="36"/>
        <v>9.2856955899999889</v>
      </c>
      <c r="I68" s="16">
        <f t="shared" si="36"/>
        <v>0.39788814000000627</v>
      </c>
      <c r="J68" s="16">
        <f t="shared" si="36"/>
        <v>0.5553354200000058</v>
      </c>
      <c r="K68" s="16">
        <f t="shared" si="36"/>
        <v>27.233495840000003</v>
      </c>
      <c r="L68" s="16">
        <f t="shared" si="36"/>
        <v>24.168094910000008</v>
      </c>
      <c r="M68" s="16">
        <f t="shared" si="36"/>
        <v>0.40563072999999861</v>
      </c>
      <c r="N68" s="16">
        <f t="shared" si="36"/>
        <v>0.30071623000000614</v>
      </c>
      <c r="O68" s="16">
        <f t="shared" si="36"/>
        <v>0.20647560999999826</v>
      </c>
      <c r="P68" s="16">
        <f t="shared" si="36"/>
        <v>7.8063807099999991</v>
      </c>
      <c r="Q68" s="16">
        <f t="shared" si="36"/>
        <v>27.554258420000011</v>
      </c>
      <c r="R68" s="14">
        <f t="shared" si="36"/>
        <v>39.204537610000017</v>
      </c>
      <c r="S68" s="18"/>
      <c r="T68" s="100" t="str">
        <f>'50% Exceedance Baseline'!T68</f>
        <v>Flow target surplus or deficit after input</v>
      </c>
      <c r="U68" s="155"/>
    </row>
    <row r="69" spans="2:21" x14ac:dyDescent="0.25">
      <c r="B69" s="81" t="s">
        <v>22</v>
      </c>
      <c r="C69" s="18">
        <f t="shared" ref="C69:F69" si="37">SUM(C61+C64+C67)</f>
        <v>0</v>
      </c>
      <c r="D69" s="18">
        <f t="shared" si="37"/>
        <v>0</v>
      </c>
      <c r="E69" s="18">
        <f t="shared" si="37"/>
        <v>0</v>
      </c>
      <c r="F69" s="18">
        <f t="shared" si="37"/>
        <v>0</v>
      </c>
      <c r="G69" s="18">
        <f>SUM(G61+G64+G67)</f>
        <v>0</v>
      </c>
      <c r="H69" s="18">
        <f t="shared" ref="H69:N69" si="38">SUM(H61+H64+H67)</f>
        <v>0</v>
      </c>
      <c r="I69" s="18">
        <f t="shared" si="38"/>
        <v>0</v>
      </c>
      <c r="J69" s="18">
        <f t="shared" si="38"/>
        <v>0</v>
      </c>
      <c r="K69" s="18">
        <f t="shared" si="38"/>
        <v>0</v>
      </c>
      <c r="L69" s="18">
        <f t="shared" si="38"/>
        <v>0</v>
      </c>
      <c r="M69" s="18">
        <f t="shared" si="38"/>
        <v>0</v>
      </c>
      <c r="N69" s="18">
        <f t="shared" si="38"/>
        <v>0</v>
      </c>
      <c r="O69" s="18">
        <f>SUM(O61+O64+O67)</f>
        <v>0</v>
      </c>
      <c r="P69" s="18">
        <f>SUM(P61+P64+P67)</f>
        <v>0</v>
      </c>
      <c r="Q69" s="18">
        <f>SUM(Q61+Q64+Q67)</f>
        <v>0</v>
      </c>
      <c r="R69" s="17">
        <f>SUM(R61+R64+R67)</f>
        <v>0</v>
      </c>
      <c r="S69" s="18"/>
      <c r="T69" s="100" t="str">
        <f>'50% Exceedance Baseline'!T69</f>
        <v>Subtotal of all inputs in Nursery Bridge to Pepper Bridge reach</v>
      </c>
    </row>
    <row r="70" spans="2:21" s="32" customFormat="1" ht="15.75" thickBot="1" x14ac:dyDescent="0.3">
      <c r="B70" s="80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7"/>
      <c r="S70" s="18"/>
      <c r="T70" s="100"/>
    </row>
    <row r="71" spans="2:21" s="64" customFormat="1" ht="15.75" thickBot="1" x14ac:dyDescent="0.3">
      <c r="B71" s="70" t="s">
        <v>69</v>
      </c>
      <c r="C71" s="69">
        <f>'50% Exceedance Baseline'!C71</f>
        <v>-0.16</v>
      </c>
      <c r="D71" s="69">
        <f>'50% Exceedance Baseline'!D71</f>
        <v>-0.16</v>
      </c>
      <c r="E71" s="69">
        <f>'50% Exceedance Baseline'!E71</f>
        <v>-0.16</v>
      </c>
      <c r="F71" s="69">
        <f>'50% Exceedance Baseline'!F71</f>
        <v>-0.16</v>
      </c>
      <c r="G71" s="69">
        <f>'50% Exceedance Baseline'!G71</f>
        <v>-0.16</v>
      </c>
      <c r="H71" s="69">
        <f>'50% Exceedance Baseline'!H71</f>
        <v>-0.16</v>
      </c>
      <c r="I71" s="69">
        <f>'50% Exceedance Baseline'!I71</f>
        <v>-0.24</v>
      </c>
      <c r="J71" s="69">
        <f>'50% Exceedance Baseline'!J71</f>
        <v>-0.24</v>
      </c>
      <c r="K71" s="69">
        <f>'50% Exceedance Baseline'!K71</f>
        <v>-0.26500000000000001</v>
      </c>
      <c r="L71" s="69">
        <f>'50% Exceedance Baseline'!L71</f>
        <v>-0.26500000000000001</v>
      </c>
      <c r="M71" s="69">
        <f>'50% Exceedance Baseline'!M71</f>
        <v>-0.215</v>
      </c>
      <c r="N71" s="69">
        <f>'50% Exceedance Baseline'!N71</f>
        <v>-0.215</v>
      </c>
      <c r="O71" s="69">
        <f>'50% Exceedance Baseline'!O71</f>
        <v>-0.17</v>
      </c>
      <c r="P71" s="69">
        <f>'50% Exceedance Baseline'!P71</f>
        <v>-0.17</v>
      </c>
      <c r="Q71" s="82">
        <f>'50% Exceedance Baseline'!Q71</f>
        <v>0.20899999999999999</v>
      </c>
      <c r="R71" s="82">
        <f>'50% Exceedance Baseline'!R71</f>
        <v>0.20899999999999999</v>
      </c>
      <c r="S71" s="107"/>
      <c r="T71" s="100" t="str">
        <f>'50% Exceedance Baseline'!T71</f>
        <v>Percentage total inputs lost or gained due to streambed hydrology (2002-2015 WWBWC seepage data); estimated current rates halved to reflect assumed seepage reductions from future projects</v>
      </c>
    </row>
    <row r="72" spans="2:21" s="28" customFormat="1" x14ac:dyDescent="0.25">
      <c r="B72" s="84" t="s">
        <v>20</v>
      </c>
      <c r="C72" s="57">
        <f>SUM(C69+C53)*(1+C71)</f>
        <v>0</v>
      </c>
      <c r="D72" s="57">
        <f t="shared" ref="D72:N72" si="39">SUM(D69+D53)*(1+D71)</f>
        <v>0</v>
      </c>
      <c r="E72" s="57">
        <f t="shared" si="39"/>
        <v>0</v>
      </c>
      <c r="F72" s="57">
        <f t="shared" si="39"/>
        <v>32.373599999999996</v>
      </c>
      <c r="G72" s="57">
        <f t="shared" si="39"/>
        <v>109.75439999999999</v>
      </c>
      <c r="H72" s="57">
        <f t="shared" si="39"/>
        <v>71.853599999999986</v>
      </c>
      <c r="I72" s="57">
        <f t="shared" si="39"/>
        <v>48.617960000000004</v>
      </c>
      <c r="J72" s="57">
        <f t="shared" si="39"/>
        <v>47.933199999999999</v>
      </c>
      <c r="K72" s="57">
        <f t="shared" si="39"/>
        <v>74.242350000000002</v>
      </c>
      <c r="L72" s="57">
        <f t="shared" si="39"/>
        <v>73.57350000000001</v>
      </c>
      <c r="M72" s="57">
        <f t="shared" si="39"/>
        <v>45.389485000000001</v>
      </c>
      <c r="N72" s="57">
        <f t="shared" si="39"/>
        <v>46.066940000000002</v>
      </c>
      <c r="O72" s="57">
        <f>SUM(O69+O53)*(1+O71)</f>
        <v>41.748999999999995</v>
      </c>
      <c r="P72" s="122">
        <f>SUM(P69+P53)*(1+P71)</f>
        <v>43.418959999999998</v>
      </c>
      <c r="Q72" s="57">
        <f>SUM(Q69+Q53)*(1+Q71)</f>
        <v>43.231422000000009</v>
      </c>
      <c r="R72" s="68">
        <f>SUM(R69+R53)*(1+R71)</f>
        <v>30.717063000000003</v>
      </c>
      <c r="S72" s="110"/>
      <c r="T72" s="100" t="str">
        <f>'50% Exceedance Baseline'!T72</f>
        <v>Total of all upstream input flow adjusted for streambed loss or gain</v>
      </c>
    </row>
    <row r="73" spans="2:21" s="21" customFormat="1" ht="15.75" thickBot="1" x14ac:dyDescent="0.3">
      <c r="B73" s="7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3"/>
      <c r="S73" s="110"/>
      <c r="T73" s="100"/>
      <c r="U73" s="20"/>
    </row>
    <row r="74" spans="2:21" s="12" customFormat="1" ht="15.75" thickBot="1" x14ac:dyDescent="0.3">
      <c r="B74" s="87" t="s">
        <v>54</v>
      </c>
      <c r="C74" s="123">
        <f>'50% Exceedance Baseline'!C74</f>
        <v>295.26822920000001</v>
      </c>
      <c r="D74" s="123">
        <f>'50% Exceedance Baseline'!D74</f>
        <v>259.96515360000001</v>
      </c>
      <c r="E74" s="123">
        <f>'50% Exceedance Baseline'!E74</f>
        <v>244.1171875</v>
      </c>
      <c r="F74" s="123">
        <f>'50% Exceedance Baseline'!F74</f>
        <v>165.40872540000001</v>
      </c>
      <c r="G74" s="123">
        <f>'50% Exceedance Baseline'!G74</f>
        <v>68.975180870000003</v>
      </c>
      <c r="H74" s="123">
        <f>'50% Exceedance Baseline'!H74</f>
        <v>37.432095590000003</v>
      </c>
      <c r="I74" s="123">
        <f>'50% Exceedance Baseline'!I74</f>
        <v>16.779928139999999</v>
      </c>
      <c r="J74" s="123">
        <f>'50% Exceedance Baseline'!J74</f>
        <v>17.622135419999999</v>
      </c>
      <c r="K74" s="123">
        <f>'50% Exceedance Baseline'!K74</f>
        <v>17.991145840000001</v>
      </c>
      <c r="L74" s="123">
        <f>'50% Exceedance Baseline'!L74</f>
        <v>15.59459491</v>
      </c>
      <c r="M74" s="123">
        <f>'50% Exceedance Baseline'!M74</f>
        <v>20.016145730000002</v>
      </c>
      <c r="N74" s="123">
        <f>'50% Exceedance Baseline'!N74</f>
        <v>19.23377623</v>
      </c>
      <c r="O74" s="123">
        <f>'50% Exceedance Baseline'!O74</f>
        <v>23.457475609999999</v>
      </c>
      <c r="P74" s="123">
        <f>'50% Exceedance Baseline'!P74</f>
        <v>29.387420710000001</v>
      </c>
      <c r="Q74" s="123">
        <f>'50% Exceedance Baseline'!Q74</f>
        <v>49.322836420000002</v>
      </c>
      <c r="R74" s="123">
        <f>'50% Exceedance Baseline'!R74</f>
        <v>73.487474610000007</v>
      </c>
      <c r="S74" s="108"/>
      <c r="T74" s="100" t="str">
        <f>'50% Exceedance Baseline'!T74</f>
        <v>Median flow data at S-108 gage (2004-2016)</v>
      </c>
    </row>
    <row r="75" spans="2:21" s="12" customFormat="1" x14ac:dyDescent="0.25">
      <c r="B75" s="88" t="s">
        <v>38</v>
      </c>
      <c r="C75" s="89">
        <f>C74+C72</f>
        <v>295.26822920000001</v>
      </c>
      <c r="D75" s="89">
        <f t="shared" ref="D75:E75" si="40">D74+D72</f>
        <v>259.96515360000001</v>
      </c>
      <c r="E75" s="89">
        <f t="shared" si="40"/>
        <v>244.1171875</v>
      </c>
      <c r="F75" s="89">
        <f>F74+F72</f>
        <v>197.78232539999999</v>
      </c>
      <c r="G75" s="89">
        <f t="shared" ref="G75:H75" si="41">G74+G72</f>
        <v>178.72958087000001</v>
      </c>
      <c r="H75" s="89">
        <f t="shared" si="41"/>
        <v>109.28569558999999</v>
      </c>
      <c r="I75" s="89">
        <f>I74+I72</f>
        <v>65.397888140000006</v>
      </c>
      <c r="J75" s="89">
        <f t="shared" ref="J75:N75" si="42">J74+J72</f>
        <v>65.555335420000006</v>
      </c>
      <c r="K75" s="89">
        <f t="shared" si="42"/>
        <v>92.233495840000003</v>
      </c>
      <c r="L75" s="89">
        <f t="shared" si="42"/>
        <v>89.168094910000008</v>
      </c>
      <c r="M75" s="89">
        <f t="shared" si="42"/>
        <v>65.405630729999999</v>
      </c>
      <c r="N75" s="89">
        <f t="shared" si="42"/>
        <v>65.300716230000006</v>
      </c>
      <c r="O75" s="89">
        <f>O74+O72</f>
        <v>65.206475609999998</v>
      </c>
      <c r="P75" s="89">
        <f>P74+P72</f>
        <v>72.806380709999999</v>
      </c>
      <c r="Q75" s="89">
        <f>Q74+Q72</f>
        <v>92.554258420000011</v>
      </c>
      <c r="R75" s="90">
        <f>R74+R72</f>
        <v>104.20453761000002</v>
      </c>
      <c r="S75" s="113"/>
      <c r="T75" s="100" t="str">
        <f>'50% Exceedance Baseline'!T75</f>
        <v>Flow gage data plus cumulative inputs adjusted for streambed loss or gain</v>
      </c>
    </row>
    <row r="76" spans="2:21" s="4" customFormat="1" x14ac:dyDescent="0.25">
      <c r="B76" s="10" t="s">
        <v>8</v>
      </c>
      <c r="C76" s="8">
        <f>$C$16</f>
        <v>150</v>
      </c>
      <c r="D76" s="8">
        <f>$D$16</f>
        <v>150</v>
      </c>
      <c r="E76" s="8">
        <f>$E$16</f>
        <v>150</v>
      </c>
      <c r="F76" s="8">
        <f>$F$16</f>
        <v>150</v>
      </c>
      <c r="G76" s="8">
        <f>$G$16</f>
        <v>150</v>
      </c>
      <c r="H76" s="8">
        <f>$H$16</f>
        <v>100</v>
      </c>
      <c r="I76" s="8">
        <f>$I$16</f>
        <v>65</v>
      </c>
      <c r="J76" s="8">
        <f>$J$16</f>
        <v>65</v>
      </c>
      <c r="K76" s="8">
        <f>$K$16</f>
        <v>65</v>
      </c>
      <c r="L76" s="8">
        <f>$L$16</f>
        <v>65</v>
      </c>
      <c r="M76" s="8">
        <f>$M$16</f>
        <v>65</v>
      </c>
      <c r="N76" s="8">
        <f>$N$16</f>
        <v>65</v>
      </c>
      <c r="O76" s="8">
        <f>$O$16</f>
        <v>65</v>
      </c>
      <c r="P76" s="8">
        <f>$P$16</f>
        <v>65</v>
      </c>
      <c r="Q76" s="8">
        <f>$Q$16</f>
        <v>65</v>
      </c>
      <c r="R76" s="9">
        <f>$R$16</f>
        <v>65</v>
      </c>
      <c r="S76" s="112"/>
      <c r="T76" s="100" t="str">
        <f>'50% Exceedance Baseline'!T76</f>
        <v>Target flows</v>
      </c>
    </row>
    <row r="77" spans="2:21" ht="15.75" thickBot="1" x14ac:dyDescent="0.3">
      <c r="B77" s="37" t="s">
        <v>12</v>
      </c>
      <c r="C77" s="38">
        <f>IF(C75&gt;C76,0,(C76-C75)*-1)</f>
        <v>0</v>
      </c>
      <c r="D77" s="38">
        <f t="shared" ref="D77:E77" si="43">IF(D75&gt;D76,0,(D76-D75)*-1)</f>
        <v>0</v>
      </c>
      <c r="E77" s="38">
        <f t="shared" si="43"/>
        <v>0</v>
      </c>
      <c r="F77" s="38">
        <f>IF(F75&gt;F76,0,(F76-F75)*-1)</f>
        <v>0</v>
      </c>
      <c r="G77" s="38">
        <f t="shared" ref="G77:N77" si="44">IF(G75&gt;G76,0,(G76-G75)*-1)</f>
        <v>0</v>
      </c>
      <c r="H77" s="38">
        <f t="shared" si="44"/>
        <v>0</v>
      </c>
      <c r="I77" s="38">
        <f t="shared" si="44"/>
        <v>0</v>
      </c>
      <c r="J77" s="38">
        <f t="shared" si="44"/>
        <v>0</v>
      </c>
      <c r="K77" s="38">
        <f t="shared" si="44"/>
        <v>0</v>
      </c>
      <c r="L77" s="38">
        <f t="shared" si="44"/>
        <v>0</v>
      </c>
      <c r="M77" s="38">
        <f t="shared" si="44"/>
        <v>0</v>
      </c>
      <c r="N77" s="38">
        <f t="shared" si="44"/>
        <v>0</v>
      </c>
      <c r="O77" s="38">
        <f>IF(O75&gt;O76,0,(O76-O75)*-1)</f>
        <v>0</v>
      </c>
      <c r="P77" s="38">
        <f>IF(P75&gt;P76,0,(P76-P75)*-1)</f>
        <v>0</v>
      </c>
      <c r="Q77" s="38">
        <f>IF(Q75&gt;Q76,0,(Q76-Q75)*-1)</f>
        <v>0</v>
      </c>
      <c r="R77" s="39">
        <f>IF(R75&gt;R76,0,(R76-R75)*-1)</f>
        <v>0</v>
      </c>
      <c r="S77" s="105"/>
      <c r="T77" s="100" t="str">
        <f>'50% Exceedance Baseline'!T77</f>
        <v>Deficit between target flows and flow gage data plus total adjusted inputs</v>
      </c>
    </row>
    <row r="78" spans="2:21" x14ac:dyDescent="0.25">
      <c r="B78" s="9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110"/>
    </row>
    <row r="80" spans="2:21" x14ac:dyDescent="0.25">
      <c r="B80" s="35" t="s">
        <v>3</v>
      </c>
      <c r="C80" s="34">
        <f>'50% Exceedance Baseline'!C80</f>
        <v>30</v>
      </c>
      <c r="D80" s="34">
        <f>'50% Exceedance Baseline'!D80</f>
        <v>30</v>
      </c>
      <c r="E80" s="34">
        <f>'50% Exceedance Baseline'!E80</f>
        <v>30</v>
      </c>
      <c r="F80" s="34">
        <f>'50% Exceedance Baseline'!F80</f>
        <v>30</v>
      </c>
      <c r="G80" s="34">
        <f>'50% Exceedance Baseline'!G80</f>
        <v>10</v>
      </c>
      <c r="H80" s="34">
        <f>'50% Exceedance Baseline'!H80</f>
        <v>10</v>
      </c>
      <c r="I80" s="34">
        <f>'50% Exceedance Baseline'!I80</f>
        <v>5</v>
      </c>
      <c r="J80" s="34">
        <f>'50% Exceedance Baseline'!J80</f>
        <v>5</v>
      </c>
      <c r="K80" s="34">
        <f>'50% Exceedance Baseline'!K80</f>
        <v>3</v>
      </c>
      <c r="L80" s="34">
        <f>'50% Exceedance Baseline'!L80</f>
        <v>3</v>
      </c>
      <c r="M80" s="34">
        <f>'50% Exceedance Baseline'!M80</f>
        <v>8</v>
      </c>
      <c r="N80" s="34">
        <f>'50% Exceedance Baseline'!N80</f>
        <v>8</v>
      </c>
      <c r="O80" s="34">
        <f>'50% Exceedance Baseline'!O80</f>
        <v>10</v>
      </c>
      <c r="P80" s="34">
        <f>'50% Exceedance Baseline'!P80</f>
        <v>10</v>
      </c>
      <c r="Q80" s="34">
        <f>'50% Exceedance Baseline'!Q80</f>
        <v>20</v>
      </c>
      <c r="R80" s="34">
        <f>'50% Exceedance Baseline'!R80</f>
        <v>20</v>
      </c>
      <c r="S80" s="63"/>
      <c r="T80" s="100" t="str">
        <f>'50% Exceedance Baseline'!T80</f>
        <v>Estimates for 2014-2015</v>
      </c>
    </row>
    <row r="81" spans="2:21" s="12" customFormat="1" x14ac:dyDescent="0.25">
      <c r="B81" s="62" t="s">
        <v>110</v>
      </c>
      <c r="C81" s="19">
        <v>10</v>
      </c>
      <c r="D81" s="19">
        <v>10</v>
      </c>
      <c r="E81" s="19">
        <v>10</v>
      </c>
      <c r="F81" s="19">
        <v>10</v>
      </c>
      <c r="G81" s="19">
        <v>5</v>
      </c>
      <c r="H81" s="19">
        <v>5</v>
      </c>
      <c r="I81" s="19">
        <v>3</v>
      </c>
      <c r="J81" s="19">
        <v>3</v>
      </c>
      <c r="K81" s="19">
        <v>3</v>
      </c>
      <c r="L81" s="19">
        <v>3</v>
      </c>
      <c r="M81" s="19">
        <v>3</v>
      </c>
      <c r="N81" s="19">
        <v>3</v>
      </c>
      <c r="O81" s="19">
        <v>3</v>
      </c>
      <c r="P81" s="19">
        <v>3</v>
      </c>
      <c r="Q81" s="19">
        <v>10</v>
      </c>
      <c r="R81" s="19">
        <v>10</v>
      </c>
      <c r="S81" s="19"/>
      <c r="T81" s="100"/>
    </row>
    <row r="82" spans="2:21" s="4" customFormat="1" x14ac:dyDescent="0.25">
      <c r="B82" s="86" t="s">
        <v>11</v>
      </c>
      <c r="C82" s="92">
        <f>'50% Exceedance Baseline'!C82</f>
        <v>90</v>
      </c>
      <c r="D82" s="92">
        <f>'50% Exceedance Baseline'!D82</f>
        <v>75</v>
      </c>
      <c r="E82" s="92">
        <f>'50% Exceedance Baseline'!E82</f>
        <v>50</v>
      </c>
      <c r="F82" s="92">
        <f>'50% Exceedance Baseline'!F82</f>
        <v>50</v>
      </c>
      <c r="G82" s="92">
        <f>'50% Exceedance Baseline'!G82</f>
        <v>35</v>
      </c>
      <c r="H82" s="92">
        <f>'50% Exceedance Baseline'!H82</f>
        <v>30</v>
      </c>
      <c r="I82" s="92">
        <f>'50% Exceedance Baseline'!I82</f>
        <v>0</v>
      </c>
      <c r="J82" s="92">
        <f>'50% Exceedance Baseline'!J82</f>
        <v>0</v>
      </c>
      <c r="K82" s="92">
        <f>'50% Exceedance Baseline'!K82</f>
        <v>0</v>
      </c>
      <c r="L82" s="92">
        <f>'50% Exceedance Baseline'!L82</f>
        <v>0</v>
      </c>
      <c r="M82" s="92">
        <f>'50% Exceedance Baseline'!M82</f>
        <v>0</v>
      </c>
      <c r="N82" s="92">
        <f>'50% Exceedance Baseline'!N82</f>
        <v>0</v>
      </c>
      <c r="O82" s="92">
        <f>'50% Exceedance Baseline'!O82</f>
        <v>32</v>
      </c>
      <c r="P82" s="92">
        <f>'50% Exceedance Baseline'!P82</f>
        <v>36</v>
      </c>
      <c r="Q82" s="92">
        <f>'50% Exceedance Baseline'!Q82</f>
        <v>58</v>
      </c>
      <c r="R82" s="92">
        <f>'50% Exceedance Baseline'!R82</f>
        <v>58</v>
      </c>
      <c r="S82" s="114"/>
      <c r="T82" s="100"/>
    </row>
    <row r="83" spans="2:21" s="4" customFormat="1" x14ac:dyDescent="0.25">
      <c r="B83" s="86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114"/>
      <c r="T83" s="100"/>
    </row>
    <row r="84" spans="2:21" s="4" customFormat="1" ht="15.75" thickBot="1" x14ac:dyDescent="0.3">
      <c r="B84" s="61" t="s">
        <v>61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114"/>
      <c r="T84" s="100"/>
    </row>
    <row r="85" spans="2:21" ht="15.75" thickBot="1" x14ac:dyDescent="0.3">
      <c r="B85" s="78" t="s">
        <v>5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121">
        <v>0</v>
      </c>
      <c r="R85" s="46">
        <v>0</v>
      </c>
      <c r="S85" s="105"/>
      <c r="T85" s="100" t="str">
        <f>'50% Exceedance Baseline'!T85</f>
        <v>Flow input between Mgt. Pt. 3 and Mgt. Pt. 4</v>
      </c>
    </row>
    <row r="86" spans="2:21" x14ac:dyDescent="0.25">
      <c r="B86" s="79" t="s">
        <v>7</v>
      </c>
      <c r="C86" s="16">
        <f>IF(C100&gt;C99,((C100-C99)*-1),((C99-C100)))</f>
        <v>190.65885420000001</v>
      </c>
      <c r="D86" s="16">
        <f t="shared" ref="D86:E86" si="45">IF(D100&gt;D99,((D100-D99)*-1),((D99-D100)))</f>
        <v>127.40364579999999</v>
      </c>
      <c r="E86" s="16">
        <f t="shared" si="45"/>
        <v>109.20572920000001</v>
      </c>
      <c r="F86" s="16">
        <f>IF(F100&gt;F99,((F100-F99)*-1),((F99-F100)))</f>
        <v>80.912228999999996</v>
      </c>
      <c r="G86" s="16">
        <f>IF(G100&gt;G99,((G100-G99)*-1),((G99-G100)))</f>
        <v>23.391929199999993</v>
      </c>
      <c r="H86" s="16">
        <f t="shared" ref="H86:P86" si="46">IF(H100&gt;H99,((H100-H99)*-1),((H99-H100)))</f>
        <v>4.3514627199999865</v>
      </c>
      <c r="I86" s="16">
        <f t="shared" si="46"/>
        <v>14.697409860000008</v>
      </c>
      <c r="J86" s="16">
        <f t="shared" si="46"/>
        <v>18.200391620000005</v>
      </c>
      <c r="K86" s="16">
        <f t="shared" si="46"/>
        <v>42.135391179999999</v>
      </c>
      <c r="L86" s="16">
        <f t="shared" si="46"/>
        <v>42.213103500000017</v>
      </c>
      <c r="M86" s="16">
        <f t="shared" si="46"/>
        <v>21.306487145000006</v>
      </c>
      <c r="N86" s="16">
        <f t="shared" si="46"/>
        <v>27.989967829999998</v>
      </c>
      <c r="O86" s="16">
        <f t="shared" si="46"/>
        <v>4.2993811699999895</v>
      </c>
      <c r="P86" s="16">
        <f t="shared" si="46"/>
        <v>0.36539808000000562</v>
      </c>
      <c r="Q86" s="16">
        <f>IF(Q100&gt;Q99,((Q100-Q99)*-1),((Q99-Q100)))</f>
        <v>0.34801424400001224</v>
      </c>
      <c r="R86" s="14">
        <f>IF(R100&gt;R99,((R100-R99)*-1),((R99-R100)))</f>
        <v>0.7690249209999962</v>
      </c>
      <c r="S86" s="18"/>
      <c r="T86" s="100" t="str">
        <f>'50% Exceedance Baseline'!T86</f>
        <v>Flow target surplus or deficit after input</v>
      </c>
    </row>
    <row r="87" spans="2:21" ht="15.75" thickBot="1" x14ac:dyDescent="0.3">
      <c r="B87" s="80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7"/>
      <c r="S87" s="18"/>
    </row>
    <row r="88" spans="2:21" s="4" customFormat="1" ht="15.75" thickBot="1" x14ac:dyDescent="0.3">
      <c r="B88" s="73" t="s">
        <v>6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121">
        <v>0</v>
      </c>
      <c r="R88" s="46">
        <v>0</v>
      </c>
      <c r="S88" s="105"/>
      <c r="T88" s="100" t="str">
        <f>'50% Exceedance Baseline'!T88</f>
        <v>Flow input between Mgt. Pt. 3 and Mgt. Pt. 4</v>
      </c>
      <c r="U88" s="155"/>
    </row>
    <row r="89" spans="2:21" x14ac:dyDescent="0.25">
      <c r="B89" s="79" t="s">
        <v>7</v>
      </c>
      <c r="C89" s="16">
        <f>IF(C100&gt;C99,((C100-C99)*-1),((C99-C100)))</f>
        <v>190.65885420000001</v>
      </c>
      <c r="D89" s="16">
        <f t="shared" ref="D89:R89" si="47">IF(D100&gt;D99,((D100-D99)*-1),((D99-D100)))</f>
        <v>127.40364579999999</v>
      </c>
      <c r="E89" s="16">
        <f t="shared" si="47"/>
        <v>109.20572920000001</v>
      </c>
      <c r="F89" s="16">
        <f t="shared" si="47"/>
        <v>80.912228999999996</v>
      </c>
      <c r="G89" s="16">
        <f t="shared" si="47"/>
        <v>23.391929199999993</v>
      </c>
      <c r="H89" s="16">
        <f t="shared" si="47"/>
        <v>4.3514627199999865</v>
      </c>
      <c r="I89" s="16">
        <f t="shared" si="47"/>
        <v>14.697409860000008</v>
      </c>
      <c r="J89" s="16">
        <f t="shared" si="47"/>
        <v>18.200391620000005</v>
      </c>
      <c r="K89" s="16">
        <f t="shared" si="47"/>
        <v>42.135391179999999</v>
      </c>
      <c r="L89" s="16">
        <f t="shared" si="47"/>
        <v>42.213103500000017</v>
      </c>
      <c r="M89" s="16">
        <f t="shared" si="47"/>
        <v>21.306487145000006</v>
      </c>
      <c r="N89" s="16">
        <f t="shared" si="47"/>
        <v>27.989967829999998</v>
      </c>
      <c r="O89" s="16">
        <f t="shared" si="47"/>
        <v>4.2993811699999895</v>
      </c>
      <c r="P89" s="16">
        <f t="shared" si="47"/>
        <v>0.36539808000000562</v>
      </c>
      <c r="Q89" s="16">
        <f t="shared" si="47"/>
        <v>0.34801424400001224</v>
      </c>
      <c r="R89" s="14">
        <f t="shared" si="47"/>
        <v>0.7690249209999962</v>
      </c>
      <c r="S89" s="18"/>
      <c r="T89" s="100" t="str">
        <f>'50% Exceedance Baseline'!T89</f>
        <v>Flow target surplus or deficit after input</v>
      </c>
    </row>
    <row r="90" spans="2:21" s="4" customFormat="1" ht="15.75" thickBot="1" x14ac:dyDescent="0.3">
      <c r="B90" s="80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7"/>
      <c r="S90" s="18"/>
      <c r="T90" s="100"/>
      <c r="U90" s="155"/>
    </row>
    <row r="91" spans="2:21" s="28" customFormat="1" ht="15.75" thickBot="1" x14ac:dyDescent="0.3">
      <c r="B91" s="73" t="s">
        <v>60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121">
        <v>0</v>
      </c>
      <c r="R91" s="46">
        <v>0</v>
      </c>
      <c r="S91" s="105"/>
      <c r="T91" s="100" t="str">
        <f>'50% Exceedance Baseline'!T91</f>
        <v>Flow input between Mgt. Pt. 3 and Mgt. Pt. 4</v>
      </c>
    </row>
    <row r="92" spans="2:21" s="4" customFormat="1" x14ac:dyDescent="0.25">
      <c r="B92" s="79" t="s">
        <v>7</v>
      </c>
      <c r="C92" s="16">
        <f>IF(C100&gt;C99,((C100-C99)*-1),((C99-C100)))</f>
        <v>190.65885420000001</v>
      </c>
      <c r="D92" s="16">
        <f t="shared" ref="D92:R92" si="48">IF(D100&gt;D99,((D100-D99)*-1),((D99-D100)))</f>
        <v>127.40364579999999</v>
      </c>
      <c r="E92" s="16">
        <f t="shared" si="48"/>
        <v>109.20572920000001</v>
      </c>
      <c r="F92" s="16">
        <f t="shared" si="48"/>
        <v>80.912228999999996</v>
      </c>
      <c r="G92" s="16">
        <f t="shared" si="48"/>
        <v>23.391929199999993</v>
      </c>
      <c r="H92" s="16">
        <f t="shared" si="48"/>
        <v>4.3514627199999865</v>
      </c>
      <c r="I92" s="16">
        <f t="shared" si="48"/>
        <v>14.697409860000008</v>
      </c>
      <c r="J92" s="16">
        <f t="shared" si="48"/>
        <v>18.200391620000005</v>
      </c>
      <c r="K92" s="16">
        <f t="shared" si="48"/>
        <v>42.135391179999999</v>
      </c>
      <c r="L92" s="16">
        <f t="shared" si="48"/>
        <v>42.213103500000017</v>
      </c>
      <c r="M92" s="16">
        <f t="shared" si="48"/>
        <v>21.306487145000006</v>
      </c>
      <c r="N92" s="16">
        <f t="shared" si="48"/>
        <v>27.989967829999998</v>
      </c>
      <c r="O92" s="16">
        <f t="shared" si="48"/>
        <v>4.2993811699999895</v>
      </c>
      <c r="P92" s="16">
        <f t="shared" si="48"/>
        <v>0.36539808000000562</v>
      </c>
      <c r="Q92" s="16">
        <f t="shared" si="48"/>
        <v>0.34801424400001224</v>
      </c>
      <c r="R92" s="14">
        <f t="shared" si="48"/>
        <v>0.7690249209999962</v>
      </c>
      <c r="S92" s="18"/>
      <c r="T92" s="100" t="str">
        <f>'50% Exceedance Baseline'!T92</f>
        <v>Flow target surplus or deficit after input</v>
      </c>
      <c r="U92" s="155"/>
    </row>
    <row r="93" spans="2:21" s="4" customFormat="1" x14ac:dyDescent="0.25">
      <c r="B93" s="81" t="s">
        <v>23</v>
      </c>
      <c r="C93" s="18">
        <f t="shared" ref="C93:F93" si="49">SUM(C85+C88+C91)</f>
        <v>0</v>
      </c>
      <c r="D93" s="18">
        <f t="shared" si="49"/>
        <v>0</v>
      </c>
      <c r="E93" s="18">
        <f t="shared" si="49"/>
        <v>0</v>
      </c>
      <c r="F93" s="18">
        <f t="shared" si="49"/>
        <v>0</v>
      </c>
      <c r="G93" s="18">
        <f>SUM(G85+G88+G91)</f>
        <v>0</v>
      </c>
      <c r="H93" s="18">
        <f t="shared" ref="H93:N93" si="50">SUM(H85+H88+H91)</f>
        <v>0</v>
      </c>
      <c r="I93" s="18">
        <f t="shared" si="50"/>
        <v>0</v>
      </c>
      <c r="J93" s="18">
        <f t="shared" si="50"/>
        <v>0</v>
      </c>
      <c r="K93" s="18">
        <f t="shared" si="50"/>
        <v>0</v>
      </c>
      <c r="L93" s="18">
        <f t="shared" si="50"/>
        <v>0</v>
      </c>
      <c r="M93" s="18">
        <f t="shared" si="50"/>
        <v>0</v>
      </c>
      <c r="N93" s="18">
        <f t="shared" si="50"/>
        <v>0</v>
      </c>
      <c r="O93" s="18">
        <f>SUM(O85+O88+O91)</f>
        <v>0</v>
      </c>
      <c r="P93" s="18">
        <f>SUM(P85+P88+P91)</f>
        <v>0</v>
      </c>
      <c r="Q93" s="18">
        <f>SUM(Q85+Q88+Q91)</f>
        <v>0</v>
      </c>
      <c r="R93" s="17">
        <f>SUM(R85+R88+R91)</f>
        <v>0</v>
      </c>
      <c r="S93" s="18"/>
      <c r="T93" s="100" t="str">
        <f>'50% Exceedance Baseline'!T93</f>
        <v>Subtotal of all inputs in Pepper Bridge to Beet Road reach</v>
      </c>
      <c r="U93" s="155"/>
    </row>
    <row r="94" spans="2:21" s="26" customFormat="1" ht="15.75" thickBot="1" x14ac:dyDescent="0.3">
      <c r="B94" s="80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7"/>
      <c r="S94" s="18"/>
      <c r="T94" s="100"/>
      <c r="U94" s="25"/>
    </row>
    <row r="95" spans="2:21" s="64" customFormat="1" ht="15.75" thickBot="1" x14ac:dyDescent="0.3">
      <c r="B95" s="70" t="s">
        <v>69</v>
      </c>
      <c r="C95" s="69">
        <f>'50% Exceedance Baseline'!C95</f>
        <v>-0.107</v>
      </c>
      <c r="D95" s="69">
        <f>'50% Exceedance Baseline'!D95</f>
        <v>-0.107</v>
      </c>
      <c r="E95" s="69">
        <f>'50% Exceedance Baseline'!E95</f>
        <v>-0.107</v>
      </c>
      <c r="F95" s="69">
        <f>'50% Exceedance Baseline'!F95</f>
        <v>-0.107</v>
      </c>
      <c r="G95" s="69">
        <f>'50% Exceedance Baseline'!G95</f>
        <v>-0.107</v>
      </c>
      <c r="H95" s="69">
        <f>'50% Exceedance Baseline'!H95</f>
        <v>-0.107</v>
      </c>
      <c r="I95" s="82">
        <f>'50% Exceedance Baseline'!I95</f>
        <v>1.6E-2</v>
      </c>
      <c r="J95" s="82">
        <f>'50% Exceedance Baseline'!J95</f>
        <v>1.6E-2</v>
      </c>
      <c r="K95" s="69">
        <f>'50% Exceedance Baseline'!K95</f>
        <v>-1.9E-2</v>
      </c>
      <c r="L95" s="69">
        <f>'50% Exceedance Baseline'!L95</f>
        <v>-1.9E-2</v>
      </c>
      <c r="M95" s="69">
        <f>'50% Exceedance Baseline'!M95</f>
        <v>-4.2999999999999997E-2</v>
      </c>
      <c r="N95" s="69">
        <f>'50% Exceedance Baseline'!N95</f>
        <v>-4.2999999999999997E-2</v>
      </c>
      <c r="O95" s="69">
        <f>'50% Exceedance Baseline'!O95</f>
        <v>-2.7E-2</v>
      </c>
      <c r="P95" s="69">
        <f>'50% Exceedance Baseline'!P95</f>
        <v>-2.7E-2</v>
      </c>
      <c r="Q95" s="69">
        <f>'50% Exceedance Baseline'!Q95</f>
        <v>-3.3000000000000002E-2</v>
      </c>
      <c r="R95" s="69">
        <f>'50% Exceedance Baseline'!R95</f>
        <v>-3.3000000000000002E-2</v>
      </c>
      <c r="S95" s="107"/>
      <c r="T95" s="100" t="str">
        <f>'50% Exceedance Baseline'!T95</f>
        <v>Percentage total inputs lost or gained due to streambed hydrology (2002-2015 WWBWC seepage data)</v>
      </c>
      <c r="U95" s="83"/>
    </row>
    <row r="96" spans="2:21" x14ac:dyDescent="0.25">
      <c r="B96" s="84" t="s">
        <v>20</v>
      </c>
      <c r="C96" s="57">
        <f>SUM(C93+C72)*(1+C95)</f>
        <v>0</v>
      </c>
      <c r="D96" s="57">
        <f t="shared" ref="D96:N96" si="51">SUM(D93+D72)*(1+D95)</f>
        <v>0</v>
      </c>
      <c r="E96" s="57">
        <f t="shared" si="51"/>
        <v>0</v>
      </c>
      <c r="F96" s="57">
        <f t="shared" si="51"/>
        <v>28.909624799999996</v>
      </c>
      <c r="G96" s="57">
        <f t="shared" si="51"/>
        <v>98.010679199999998</v>
      </c>
      <c r="H96" s="57">
        <f t="shared" si="51"/>
        <v>64.165264799999989</v>
      </c>
      <c r="I96" s="57">
        <f t="shared" si="51"/>
        <v>49.395847360000005</v>
      </c>
      <c r="J96" s="57">
        <f t="shared" si="51"/>
        <v>48.700131200000001</v>
      </c>
      <c r="K96" s="57">
        <f t="shared" si="51"/>
        <v>72.831745350000006</v>
      </c>
      <c r="L96" s="57">
        <f t="shared" si="51"/>
        <v>72.175603500000008</v>
      </c>
      <c r="M96" s="57">
        <f t="shared" si="51"/>
        <v>43.437737145</v>
      </c>
      <c r="N96" s="57">
        <f t="shared" si="51"/>
        <v>44.086061579999999</v>
      </c>
      <c r="O96" s="57">
        <f>SUM(O93+O72)*(1+O95)</f>
        <v>40.621776999999994</v>
      </c>
      <c r="P96" s="57">
        <f>SUM(P93+P72)*(1+P95)</f>
        <v>42.24664808</v>
      </c>
      <c r="Q96" s="57">
        <f>SUM(Q93+Q72)*(1+Q95)</f>
        <v>41.804785074000009</v>
      </c>
      <c r="R96" s="58">
        <f>SUM(R93+R72)*(1+R95)</f>
        <v>29.703399921000003</v>
      </c>
      <c r="S96" s="110"/>
      <c r="T96" s="100" t="str">
        <f>'50% Exceedance Baseline'!T96</f>
        <v>Total of all upstream input flow adjusted for streambed loss or gain</v>
      </c>
    </row>
    <row r="97" spans="2:22" s="12" customFormat="1" ht="15.75" thickBot="1" x14ac:dyDescent="0.3">
      <c r="B97" s="71" t="s">
        <v>120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110"/>
      <c r="T97" s="100"/>
    </row>
    <row r="98" spans="2:22" s="4" customFormat="1" ht="15.75" thickBot="1" x14ac:dyDescent="0.3">
      <c r="B98" s="24" t="s">
        <v>55</v>
      </c>
      <c r="C98" s="123">
        <f>'50% Exceedance Baseline'!C98</f>
        <v>340.65885420000001</v>
      </c>
      <c r="D98" s="123">
        <f>'50% Exceedance Baseline'!D98</f>
        <v>277.40364579999999</v>
      </c>
      <c r="E98" s="123">
        <f>'50% Exceedance Baseline'!E98</f>
        <v>259.20572920000001</v>
      </c>
      <c r="F98" s="123">
        <f>'50% Exceedance Baseline'!F98</f>
        <v>202.00260420000001</v>
      </c>
      <c r="G98" s="123">
        <f>'50% Exceedance Baseline'!G98</f>
        <v>75.381249999999994</v>
      </c>
      <c r="H98" s="123">
        <f>'50% Exceedance Baseline'!H98</f>
        <v>40.186197919999998</v>
      </c>
      <c r="I98" s="123">
        <f>'50% Exceedance Baseline'!I98</f>
        <v>30.301562499999999</v>
      </c>
      <c r="J98" s="123">
        <f>'50% Exceedance Baseline'!J98</f>
        <v>34.500260419999996</v>
      </c>
      <c r="K98" s="123">
        <f>'50% Exceedance Baseline'!K98</f>
        <v>34.303645830000001</v>
      </c>
      <c r="L98" s="123">
        <f>'50% Exceedance Baseline'!L98</f>
        <v>35.037500000000001</v>
      </c>
      <c r="M98" s="123">
        <f>'50% Exceedance Baseline'!M98</f>
        <v>42.868749999999999</v>
      </c>
      <c r="N98" s="123">
        <f>'50% Exceedance Baseline'!N98</f>
        <v>48.903906249999999</v>
      </c>
      <c r="O98" s="123">
        <f>'50% Exceedance Baseline'!O98</f>
        <v>28.677604169999999</v>
      </c>
      <c r="P98" s="123">
        <f>'50% Exceedance Baseline'!P98</f>
        <v>23.118749999999999</v>
      </c>
      <c r="Q98" s="123">
        <f>'50% Exceedance Baseline'!Q98</f>
        <v>23.54322917</v>
      </c>
      <c r="R98" s="123">
        <f>'50% Exceedance Baseline'!R98</f>
        <v>36.065624999999997</v>
      </c>
      <c r="S98" s="19"/>
      <c r="T98" s="100" t="str">
        <f>'50% Exceedance Baseline'!T98</f>
        <v>Median flow data at S-109 gage (2002-2016)</v>
      </c>
      <c r="U98" s="155"/>
    </row>
    <row r="99" spans="2:22" x14ac:dyDescent="0.25">
      <c r="B99" s="47" t="s">
        <v>39</v>
      </c>
      <c r="C99" s="48">
        <f>(C98+C96)+C97</f>
        <v>340.65885420000001</v>
      </c>
      <c r="D99" s="48">
        <f t="shared" ref="D99:R99" si="52">(D98+D96)+D97</f>
        <v>277.40364579999999</v>
      </c>
      <c r="E99" s="48">
        <f t="shared" si="52"/>
        <v>259.20572920000001</v>
      </c>
      <c r="F99" s="48">
        <f t="shared" si="52"/>
        <v>230.912229</v>
      </c>
      <c r="G99" s="48">
        <f t="shared" si="52"/>
        <v>173.39192919999999</v>
      </c>
      <c r="H99" s="48">
        <f t="shared" si="52"/>
        <v>104.35146271999999</v>
      </c>
      <c r="I99" s="48">
        <f t="shared" si="52"/>
        <v>79.697409860000008</v>
      </c>
      <c r="J99" s="48">
        <f t="shared" si="52"/>
        <v>83.200391620000005</v>
      </c>
      <c r="K99" s="48">
        <f t="shared" si="52"/>
        <v>107.13539118</v>
      </c>
      <c r="L99" s="48">
        <f t="shared" si="52"/>
        <v>107.21310350000002</v>
      </c>
      <c r="M99" s="48">
        <f t="shared" si="52"/>
        <v>86.306487145000006</v>
      </c>
      <c r="N99" s="48">
        <f t="shared" si="52"/>
        <v>92.989967829999998</v>
      </c>
      <c r="O99" s="48">
        <f t="shared" si="52"/>
        <v>69.29938116999999</v>
      </c>
      <c r="P99" s="48">
        <f t="shared" si="52"/>
        <v>65.365398080000006</v>
      </c>
      <c r="Q99" s="133">
        <f t="shared" si="52"/>
        <v>65.348014244000012</v>
      </c>
      <c r="R99" s="49">
        <f t="shared" si="52"/>
        <v>65.769024920999996</v>
      </c>
      <c r="S99" s="111"/>
      <c r="T99" s="100" t="str">
        <f>'50% Exceedance Baseline'!T99</f>
        <v>Flow gage data plus cumulative inputs adjusted for streambed loss or gain</v>
      </c>
    </row>
    <row r="100" spans="2:22" x14ac:dyDescent="0.25">
      <c r="B100" s="10" t="s">
        <v>8</v>
      </c>
      <c r="C100" s="8">
        <f>$C$16</f>
        <v>150</v>
      </c>
      <c r="D100" s="8">
        <f>$D$16</f>
        <v>150</v>
      </c>
      <c r="E100" s="8">
        <f>$E$16</f>
        <v>150</v>
      </c>
      <c r="F100" s="8">
        <f>$F$16</f>
        <v>150</v>
      </c>
      <c r="G100" s="8">
        <f>$G$16</f>
        <v>150</v>
      </c>
      <c r="H100" s="8">
        <f>$H$16</f>
        <v>100</v>
      </c>
      <c r="I100" s="8">
        <f>$I$16</f>
        <v>65</v>
      </c>
      <c r="J100" s="8">
        <f>$J$16</f>
        <v>65</v>
      </c>
      <c r="K100" s="8">
        <f>$K$16</f>
        <v>65</v>
      </c>
      <c r="L100" s="8">
        <f>$L$16</f>
        <v>65</v>
      </c>
      <c r="M100" s="8">
        <f>$M$16</f>
        <v>65</v>
      </c>
      <c r="N100" s="8">
        <f>$N$16</f>
        <v>65</v>
      </c>
      <c r="O100" s="8">
        <f>$O$16</f>
        <v>65</v>
      </c>
      <c r="P100" s="8">
        <f>$P$16</f>
        <v>65</v>
      </c>
      <c r="Q100" s="8">
        <f>$Q$16</f>
        <v>65</v>
      </c>
      <c r="R100" s="9">
        <f>$R$16</f>
        <v>65</v>
      </c>
      <c r="S100" s="112"/>
      <c r="T100" s="100" t="str">
        <f>'50% Exceedance Baseline'!T100</f>
        <v>Target flows</v>
      </c>
    </row>
    <row r="101" spans="2:22" ht="15.75" thickBot="1" x14ac:dyDescent="0.3">
      <c r="B101" s="37" t="s">
        <v>13</v>
      </c>
      <c r="C101" s="38">
        <f>IF(C99&gt;C100,0,(C100-C99)*-1)</f>
        <v>0</v>
      </c>
      <c r="D101" s="38">
        <f t="shared" ref="D101:E101" si="53">IF(D99&gt;D100,0,(D100-D99)*-1)</f>
        <v>0</v>
      </c>
      <c r="E101" s="38">
        <f t="shared" si="53"/>
        <v>0</v>
      </c>
      <c r="F101" s="38">
        <f>IF(F99&gt;F100,0,(F100-F99)*-1)</f>
        <v>0</v>
      </c>
      <c r="G101" s="38">
        <f t="shared" ref="G101:N101" si="54">IF(G99&gt;G100,0,(G100-G99)*-1)</f>
        <v>0</v>
      </c>
      <c r="H101" s="38">
        <f t="shared" si="54"/>
        <v>0</v>
      </c>
      <c r="I101" s="38">
        <f t="shared" si="54"/>
        <v>0</v>
      </c>
      <c r="J101" s="38">
        <f t="shared" si="54"/>
        <v>0</v>
      </c>
      <c r="K101" s="38">
        <f t="shared" si="54"/>
        <v>0</v>
      </c>
      <c r="L101" s="38">
        <f t="shared" si="54"/>
        <v>0</v>
      </c>
      <c r="M101" s="38">
        <f t="shared" si="54"/>
        <v>0</v>
      </c>
      <c r="N101" s="38">
        <f t="shared" si="54"/>
        <v>0</v>
      </c>
      <c r="O101" s="38">
        <f>IF(O99&gt;O100,0,(O100-O99)*-1)</f>
        <v>0</v>
      </c>
      <c r="P101" s="38">
        <f>IF(P99&gt;P100,0,(P100-P99)*-1)</f>
        <v>0</v>
      </c>
      <c r="Q101" s="38">
        <f>IF(Q99&gt;Q100,0,(Q100-Q99)*-1)</f>
        <v>0</v>
      </c>
      <c r="R101" s="39">
        <f>IF(R99&gt;R100,0,(R100-R99)*-1)</f>
        <v>0</v>
      </c>
      <c r="S101" s="105"/>
      <c r="T101" s="100" t="str">
        <f>'50% Exceedance Baseline'!T101</f>
        <v>Deficit between target flows and flow gage data plus total adjusted inputs</v>
      </c>
    </row>
    <row r="102" spans="2:22" x14ac:dyDescent="0.25">
      <c r="B102" s="40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105"/>
    </row>
    <row r="103" spans="2:22" x14ac:dyDescent="0.25">
      <c r="B103" s="35" t="s">
        <v>101</v>
      </c>
      <c r="C103" s="34">
        <f>C119-C98</f>
        <v>140.34114579999999</v>
      </c>
      <c r="D103" s="34">
        <f t="shared" ref="D103:N103" si="55">D119-D98</f>
        <v>87.096354200000007</v>
      </c>
      <c r="E103" s="34">
        <f t="shared" si="55"/>
        <v>112.29427079999999</v>
      </c>
      <c r="F103" s="34">
        <f t="shared" si="55"/>
        <v>13.997395799999993</v>
      </c>
      <c r="G103" s="34">
        <f t="shared" si="55"/>
        <v>40.618750000000006</v>
      </c>
      <c r="H103" s="34">
        <f t="shared" si="55"/>
        <v>29.613802079999999</v>
      </c>
      <c r="I103" s="34">
        <f t="shared" si="55"/>
        <v>8.9984374999999979</v>
      </c>
      <c r="J103" s="34">
        <f t="shared" si="55"/>
        <v>3.6997395800000064</v>
      </c>
      <c r="K103" s="34">
        <f t="shared" si="55"/>
        <v>4.5463541700000007</v>
      </c>
      <c r="L103" s="34">
        <f t="shared" si="55"/>
        <v>7.3624999999999972</v>
      </c>
      <c r="M103" s="34">
        <f t="shared" si="55"/>
        <v>8.03125</v>
      </c>
      <c r="N103" s="34">
        <f t="shared" si="55"/>
        <v>9.0460937500000043</v>
      </c>
      <c r="O103" s="34">
        <f>O119-O98</f>
        <v>16.322395830000001</v>
      </c>
      <c r="P103" s="34">
        <f>P119-P98</f>
        <v>25.581250000000004</v>
      </c>
      <c r="Q103" s="34">
        <f>Q119-Q98</f>
        <v>37.456770829999996</v>
      </c>
      <c r="R103" s="34">
        <f>R119-R98</f>
        <v>56.634375000000006</v>
      </c>
      <c r="S103" s="63"/>
      <c r="T103" s="100" t="str">
        <f>'50% Exceedance Baseline'!T103</f>
        <v>Detour gaging data minus Beet Road gaging data</v>
      </c>
    </row>
    <row r="104" spans="2:22" s="12" customFormat="1" x14ac:dyDescent="0.25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100"/>
      <c r="U104" s="13"/>
    </row>
    <row r="105" spans="2:22" ht="15.75" thickBot="1" x14ac:dyDescent="0.3">
      <c r="B105" s="64" t="s">
        <v>65</v>
      </c>
      <c r="C105" s="22">
        <f>IF(C109&gt;0,10,0)</f>
        <v>0</v>
      </c>
      <c r="D105" s="22">
        <f t="shared" ref="D105:R105" si="56">IF(D109&gt;0,10,0)</f>
        <v>0</v>
      </c>
      <c r="E105" s="22">
        <f t="shared" si="56"/>
        <v>0</v>
      </c>
      <c r="F105" s="22">
        <f t="shared" si="56"/>
        <v>10</v>
      </c>
      <c r="G105" s="22">
        <f t="shared" si="56"/>
        <v>10</v>
      </c>
      <c r="H105" s="22">
        <f t="shared" si="56"/>
        <v>0</v>
      </c>
      <c r="I105" s="22">
        <f t="shared" si="56"/>
        <v>0</v>
      </c>
      <c r="J105" s="22">
        <f t="shared" si="56"/>
        <v>0</v>
      </c>
      <c r="K105" s="22">
        <f t="shared" si="56"/>
        <v>0</v>
      </c>
      <c r="L105" s="22">
        <f t="shared" si="56"/>
        <v>0</v>
      </c>
      <c r="M105" s="22">
        <f t="shared" si="56"/>
        <v>0</v>
      </c>
      <c r="N105" s="22">
        <f t="shared" si="56"/>
        <v>0</v>
      </c>
      <c r="O105" s="22">
        <f t="shared" si="56"/>
        <v>0</v>
      </c>
      <c r="P105" s="22">
        <f t="shared" si="56"/>
        <v>0</v>
      </c>
      <c r="Q105" s="22">
        <f t="shared" si="56"/>
        <v>0</v>
      </c>
      <c r="R105" s="22">
        <f t="shared" si="56"/>
        <v>0</v>
      </c>
      <c r="S105" s="110"/>
      <c r="T105" s="101" t="s">
        <v>118</v>
      </c>
      <c r="U105" s="139">
        <f>SUM(C105:R105)*15*1.9835</f>
        <v>595.05000000000007</v>
      </c>
      <c r="V105" s="11" t="s">
        <v>122</v>
      </c>
    </row>
    <row r="106" spans="2:22" ht="15.75" thickBot="1" x14ac:dyDescent="0.3">
      <c r="B106" s="72" t="s">
        <v>119</v>
      </c>
      <c r="C106" s="46">
        <f>C97*-1</f>
        <v>0</v>
      </c>
      <c r="D106" s="46">
        <f t="shared" ref="D106:R106" si="57">D97*-1</f>
        <v>0</v>
      </c>
      <c r="E106" s="46">
        <f t="shared" si="57"/>
        <v>0</v>
      </c>
      <c r="F106" s="46">
        <f t="shared" si="57"/>
        <v>0</v>
      </c>
      <c r="G106" s="46">
        <f t="shared" si="57"/>
        <v>0</v>
      </c>
      <c r="H106" s="46">
        <f t="shared" si="57"/>
        <v>0</v>
      </c>
      <c r="I106" s="46">
        <f t="shared" si="57"/>
        <v>0</v>
      </c>
      <c r="J106" s="46">
        <f t="shared" si="57"/>
        <v>0</v>
      </c>
      <c r="K106" s="46">
        <f t="shared" si="57"/>
        <v>0</v>
      </c>
      <c r="L106" s="46">
        <f t="shared" si="57"/>
        <v>0</v>
      </c>
      <c r="M106" s="46">
        <f>M97*-1</f>
        <v>0</v>
      </c>
      <c r="N106" s="46">
        <f t="shared" si="57"/>
        <v>0</v>
      </c>
      <c r="O106" s="46">
        <f t="shared" si="57"/>
        <v>0</v>
      </c>
      <c r="P106" s="46">
        <f t="shared" si="57"/>
        <v>0</v>
      </c>
      <c r="Q106" s="46">
        <f>Q97*-1</f>
        <v>0</v>
      </c>
      <c r="R106" s="46">
        <f t="shared" si="57"/>
        <v>0</v>
      </c>
      <c r="S106" s="105"/>
      <c r="T106" s="100" t="str">
        <f>'50% Exceedance Baseline'!T106</f>
        <v>Flow input between Mgt. Pt. 4 and Mgt. Pt. 5</v>
      </c>
    </row>
    <row r="107" spans="2:22" x14ac:dyDescent="0.25">
      <c r="B107" s="79" t="s">
        <v>7</v>
      </c>
      <c r="C107" s="16">
        <f>IF(C121&gt;C120,((C121-C120)*-1),((C120-C121)))</f>
        <v>331</v>
      </c>
      <c r="D107" s="16">
        <f t="shared" ref="D107:E107" si="58">IF(D121&gt;D120,((D121-D120)*-1),((D120-D121)))</f>
        <v>214.5</v>
      </c>
      <c r="E107" s="16">
        <f t="shared" si="58"/>
        <v>221.5</v>
      </c>
      <c r="F107" s="16">
        <f>IF(F121&gt;F120,((F121-F120)*-1),((F120-F121)))</f>
        <v>129.45736541999997</v>
      </c>
      <c r="G107" s="16">
        <f>IF(G121&gt;G120,((G121-G120)*-1),((G120-G121)))</f>
        <v>81.835946180000008</v>
      </c>
      <c r="H107" s="16">
        <f t="shared" ref="H107:R107" si="59">IF(H121&gt;H120,((H121-H120)*-1),((H120-H121)))</f>
        <v>35.569396419999975</v>
      </c>
      <c r="I107" s="16">
        <f t="shared" si="59"/>
        <v>25.474097864960001</v>
      </c>
      <c r="J107" s="16">
        <f t="shared" si="59"/>
        <v>23.653335923200004</v>
      </c>
      <c r="K107" s="16">
        <f t="shared" si="59"/>
        <v>42.239008883650001</v>
      </c>
      <c r="L107" s="16">
        <f t="shared" si="59"/>
        <v>45.172891686500009</v>
      </c>
      <c r="M107" s="16">
        <f t="shared" si="59"/>
        <v>28.946797510695006</v>
      </c>
      <c r="N107" s="16">
        <f t="shared" si="59"/>
        <v>36.639287025779993</v>
      </c>
      <c r="O107" s="16">
        <f t="shared" si="59"/>
        <v>26.71504354999999</v>
      </c>
      <c r="P107" s="16">
        <f t="shared" si="59"/>
        <v>32.283645291999989</v>
      </c>
      <c r="Q107" s="16">
        <f t="shared" si="59"/>
        <v>32.871820435268006</v>
      </c>
      <c r="R107" s="14">
        <f t="shared" si="59"/>
        <v>53.898398730322</v>
      </c>
      <c r="S107" s="18"/>
      <c r="T107" s="100" t="str">
        <f>'50% Exceedance Baseline'!T107</f>
        <v>Flow target surplus or deficit after input</v>
      </c>
    </row>
    <row r="108" spans="2:22" ht="15.75" thickBot="1" x14ac:dyDescent="0.3">
      <c r="B108" s="80"/>
      <c r="C108" s="18"/>
      <c r="D108" s="18"/>
      <c r="E108" s="18"/>
      <c r="F108" s="18"/>
      <c r="G108" s="18">
        <v>25</v>
      </c>
      <c r="H108" s="18">
        <v>20</v>
      </c>
      <c r="I108" s="18"/>
      <c r="J108" s="18"/>
      <c r="K108" s="18"/>
      <c r="L108" s="18"/>
      <c r="M108" s="18"/>
      <c r="N108" s="18"/>
      <c r="O108" s="18">
        <v>22</v>
      </c>
      <c r="P108" s="18">
        <v>26</v>
      </c>
      <c r="Q108" s="18"/>
      <c r="R108" s="17"/>
      <c r="S108" s="18"/>
    </row>
    <row r="109" spans="2:22" ht="15.75" thickBot="1" x14ac:dyDescent="0.3">
      <c r="B109" s="73" t="s">
        <v>116</v>
      </c>
      <c r="C109" s="46">
        <v>0</v>
      </c>
      <c r="D109" s="46">
        <v>0</v>
      </c>
      <c r="E109" s="46">
        <v>0</v>
      </c>
      <c r="F109" s="46">
        <v>33</v>
      </c>
      <c r="G109" s="46">
        <v>15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105"/>
      <c r="T109" s="100" t="str">
        <f>'50% Exceedance Baseline'!T109</f>
        <v>Flow input between Mgt. Pt. 4 and Mgt. Pt. 5</v>
      </c>
    </row>
    <row r="110" spans="2:22" x14ac:dyDescent="0.25">
      <c r="B110" s="79" t="s">
        <v>7</v>
      </c>
      <c r="C110" s="16">
        <f>IF(C121&gt;C120,((C121-C120)*-1),((C120-C121)))</f>
        <v>331</v>
      </c>
      <c r="D110" s="16">
        <f t="shared" ref="D110:R110" si="60">IF(D121&gt;D120,((D121-D120)*-1),((D120-D121)))</f>
        <v>214.5</v>
      </c>
      <c r="E110" s="16">
        <f t="shared" si="60"/>
        <v>221.5</v>
      </c>
      <c r="F110" s="16">
        <f t="shared" si="60"/>
        <v>129.45736541999997</v>
      </c>
      <c r="G110" s="16">
        <f t="shared" si="60"/>
        <v>81.835946180000008</v>
      </c>
      <c r="H110" s="16">
        <f t="shared" si="60"/>
        <v>35.569396419999975</v>
      </c>
      <c r="I110" s="16">
        <f t="shared" si="60"/>
        <v>25.474097864960001</v>
      </c>
      <c r="J110" s="16">
        <f t="shared" si="60"/>
        <v>23.653335923200004</v>
      </c>
      <c r="K110" s="16">
        <f t="shared" si="60"/>
        <v>42.239008883650001</v>
      </c>
      <c r="L110" s="16">
        <f t="shared" si="60"/>
        <v>45.172891686500009</v>
      </c>
      <c r="M110" s="16">
        <f t="shared" si="60"/>
        <v>28.946797510695006</v>
      </c>
      <c r="N110" s="16">
        <f t="shared" si="60"/>
        <v>36.639287025779993</v>
      </c>
      <c r="O110" s="16">
        <f t="shared" si="60"/>
        <v>26.71504354999999</v>
      </c>
      <c r="P110" s="16">
        <f t="shared" si="60"/>
        <v>32.283645291999989</v>
      </c>
      <c r="Q110" s="16">
        <f t="shared" si="60"/>
        <v>32.871820435268006</v>
      </c>
      <c r="R110" s="14">
        <f t="shared" si="60"/>
        <v>53.898398730322</v>
      </c>
      <c r="S110" s="18"/>
      <c r="T110" s="100" t="str">
        <f>'50% Exceedance Baseline'!T110</f>
        <v>Flow target surplus or deficit after input</v>
      </c>
    </row>
    <row r="111" spans="2:22" s="4" customFormat="1" ht="15.75" thickBot="1" x14ac:dyDescent="0.3">
      <c r="B111" s="135" t="s">
        <v>115</v>
      </c>
      <c r="C111" s="136">
        <f t="shared" ref="C111:R111" si="61">C109*15*1.9835</f>
        <v>0</v>
      </c>
      <c r="D111" s="136">
        <f t="shared" si="61"/>
        <v>0</v>
      </c>
      <c r="E111" s="136">
        <f t="shared" si="61"/>
        <v>0</v>
      </c>
      <c r="F111" s="136">
        <f t="shared" si="61"/>
        <v>981.83249999999998</v>
      </c>
      <c r="G111" s="136">
        <f>G109*15*1.9835</f>
        <v>446.28750000000002</v>
      </c>
      <c r="H111" s="136">
        <f t="shared" si="61"/>
        <v>0</v>
      </c>
      <c r="I111" s="136">
        <f t="shared" si="61"/>
        <v>0</v>
      </c>
      <c r="J111" s="136">
        <f t="shared" si="61"/>
        <v>0</v>
      </c>
      <c r="K111" s="136">
        <f t="shared" si="61"/>
        <v>0</v>
      </c>
      <c r="L111" s="136">
        <f t="shared" si="61"/>
        <v>0</v>
      </c>
      <c r="M111" s="136">
        <f t="shared" si="61"/>
        <v>0</v>
      </c>
      <c r="N111" s="136">
        <f t="shared" si="61"/>
        <v>0</v>
      </c>
      <c r="O111" s="136">
        <f t="shared" si="61"/>
        <v>0</v>
      </c>
      <c r="P111" s="136">
        <f t="shared" si="61"/>
        <v>0</v>
      </c>
      <c r="Q111" s="136">
        <f t="shared" si="61"/>
        <v>0</v>
      </c>
      <c r="R111" s="137">
        <f t="shared" si="61"/>
        <v>0</v>
      </c>
      <c r="S111" s="136"/>
      <c r="T111" s="101" t="s">
        <v>118</v>
      </c>
      <c r="U111" s="139">
        <f>SUM(C111:R111)</f>
        <v>1428.12</v>
      </c>
    </row>
    <row r="112" spans="2:22" ht="15.75" thickBot="1" x14ac:dyDescent="0.3">
      <c r="B112" s="73" t="s">
        <v>60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121">
        <v>0</v>
      </c>
      <c r="R112" s="46">
        <v>0</v>
      </c>
      <c r="S112" s="105"/>
      <c r="T112" s="100" t="str">
        <f>'50% Exceedance Baseline'!T112</f>
        <v>Flow input between Mgt. Pt. 4 and Mgt. Pt. 5</v>
      </c>
    </row>
    <row r="113" spans="2:22" x14ac:dyDescent="0.25">
      <c r="B113" s="79" t="s">
        <v>7</v>
      </c>
      <c r="C113" s="16">
        <f>IF(C121&gt;C120,((C121-C120)*-1),((C120-C121)))</f>
        <v>331</v>
      </c>
      <c r="D113" s="16">
        <f t="shared" ref="D113" si="62">IF(D121&gt;D120,((D121-D120)*-1),((D120-D121)))</f>
        <v>214.5</v>
      </c>
      <c r="E113" s="16">
        <f>IF(E121&gt;E120,((E121-E120)*-1),((E120-E121)))</f>
        <v>221.5</v>
      </c>
      <c r="F113" s="16">
        <f t="shared" ref="F113:R113" si="63">IF(F121&gt;F120,((F121-F120)*-1),((F120-F121)))</f>
        <v>129.45736541999997</v>
      </c>
      <c r="G113" s="16">
        <f t="shared" si="63"/>
        <v>81.835946180000008</v>
      </c>
      <c r="H113" s="16">
        <f t="shared" si="63"/>
        <v>35.569396419999975</v>
      </c>
      <c r="I113" s="16">
        <f t="shared" si="63"/>
        <v>25.474097864960001</v>
      </c>
      <c r="J113" s="16">
        <f t="shared" si="63"/>
        <v>23.653335923200004</v>
      </c>
      <c r="K113" s="16">
        <f t="shared" si="63"/>
        <v>42.239008883650001</v>
      </c>
      <c r="L113" s="16">
        <f t="shared" si="63"/>
        <v>45.172891686500009</v>
      </c>
      <c r="M113" s="16">
        <f t="shared" si="63"/>
        <v>28.946797510695006</v>
      </c>
      <c r="N113" s="16">
        <f t="shared" si="63"/>
        <v>36.639287025779993</v>
      </c>
      <c r="O113" s="16">
        <f t="shared" si="63"/>
        <v>26.71504354999999</v>
      </c>
      <c r="P113" s="16">
        <f t="shared" si="63"/>
        <v>32.283645291999989</v>
      </c>
      <c r="Q113" s="16">
        <f t="shared" si="63"/>
        <v>32.871820435268006</v>
      </c>
      <c r="R113" s="14">
        <f t="shared" si="63"/>
        <v>53.898398730322</v>
      </c>
      <c r="S113" s="18"/>
      <c r="T113" s="100" t="str">
        <f>'50% Exceedance Baseline'!T113</f>
        <v>Flow target surplus or deficit after input</v>
      </c>
    </row>
    <row r="114" spans="2:22" s="11" customFormat="1" x14ac:dyDescent="0.25">
      <c r="B114" s="81" t="s">
        <v>24</v>
      </c>
      <c r="C114" s="18">
        <f>SUM(C106+C109+C112)</f>
        <v>0</v>
      </c>
      <c r="D114" s="18">
        <f t="shared" ref="D114:F114" si="64">SUM(D106+D109+D112)</f>
        <v>0</v>
      </c>
      <c r="E114" s="18">
        <f t="shared" si="64"/>
        <v>0</v>
      </c>
      <c r="F114" s="18">
        <f t="shared" si="64"/>
        <v>33</v>
      </c>
      <c r="G114" s="18">
        <f>SUM(G106+G109+G112)</f>
        <v>15</v>
      </c>
      <c r="H114" s="18">
        <f t="shared" ref="H114:N114" si="65">SUM(H106+H109+H112)</f>
        <v>0</v>
      </c>
      <c r="I114" s="18">
        <f t="shared" si="65"/>
        <v>0</v>
      </c>
      <c r="J114" s="18">
        <f t="shared" si="65"/>
        <v>0</v>
      </c>
      <c r="K114" s="18">
        <f t="shared" si="65"/>
        <v>0</v>
      </c>
      <c r="L114" s="18">
        <f t="shared" si="65"/>
        <v>0</v>
      </c>
      <c r="M114" s="18">
        <f t="shared" si="65"/>
        <v>0</v>
      </c>
      <c r="N114" s="18">
        <f t="shared" si="65"/>
        <v>0</v>
      </c>
      <c r="O114" s="18">
        <f>SUM(O106+O109+O112)</f>
        <v>0</v>
      </c>
      <c r="P114" s="18">
        <f>SUM(P106+P109+P112)</f>
        <v>0</v>
      </c>
      <c r="Q114" s="18">
        <f>SUM(Q106+Q109+Q112)</f>
        <v>0</v>
      </c>
      <c r="R114" s="17">
        <f>SUM(R106+R109+R112)</f>
        <v>0</v>
      </c>
      <c r="S114" s="18"/>
      <c r="T114" s="100" t="str">
        <f>'50% Exceedance Baseline'!T114</f>
        <v>Subtotal of all inputs in Beet Road to Detour Road reach</v>
      </c>
      <c r="U114" s="8"/>
    </row>
    <row r="115" spans="2:22" ht="15.75" thickBot="1" x14ac:dyDescent="0.3">
      <c r="B115" s="80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7"/>
      <c r="S115" s="18"/>
    </row>
    <row r="116" spans="2:22" s="64" customFormat="1" ht="15.75" thickBot="1" x14ac:dyDescent="0.3">
      <c r="B116" s="70" t="s">
        <v>69</v>
      </c>
      <c r="C116" s="82">
        <f>'50% Exceedance Baseline'!C116</f>
        <v>2.5000000000000001E-2</v>
      </c>
      <c r="D116" s="82">
        <f>'50% Exceedance Baseline'!D116</f>
        <v>2.5000000000000001E-2</v>
      </c>
      <c r="E116" s="82">
        <f>'50% Exceedance Baseline'!E116</f>
        <v>2.5000000000000001E-2</v>
      </c>
      <c r="F116" s="82">
        <f>'50% Exceedance Baseline'!F116</f>
        <v>2.5000000000000001E-2</v>
      </c>
      <c r="G116" s="82">
        <f>'50% Exceedance Baseline'!G116</f>
        <v>2.5000000000000001E-2</v>
      </c>
      <c r="H116" s="82">
        <f>'50% Exceedance Baseline'!H116</f>
        <v>2.5000000000000001E-2</v>
      </c>
      <c r="I116" s="82">
        <f>'50% Exceedance Baseline'!I116</f>
        <v>3.5999999999999997E-2</v>
      </c>
      <c r="J116" s="82">
        <f>'50% Exceedance Baseline'!J116</f>
        <v>3.5999999999999997E-2</v>
      </c>
      <c r="K116" s="69">
        <f>'50% Exceedance Baseline'!K116</f>
        <v>-6.0999999999999999E-2</v>
      </c>
      <c r="L116" s="69">
        <f>'50% Exceedance Baseline'!L116</f>
        <v>-6.0999999999999999E-2</v>
      </c>
      <c r="M116" s="69">
        <f>'50% Exceedance Baseline'!M116</f>
        <v>-8.9999999999999993E-3</v>
      </c>
      <c r="N116" s="69">
        <f>'50% Exceedance Baseline'!N116</f>
        <v>-8.9999999999999993E-3</v>
      </c>
      <c r="O116" s="69">
        <f>'50% Exceedance Baseline'!O116</f>
        <v>0.15</v>
      </c>
      <c r="P116" s="69">
        <f>'50% Exceedance Baseline'!P116</f>
        <v>0.15</v>
      </c>
      <c r="Q116" s="69">
        <f>'50% Exceedance Baseline'!Q116</f>
        <v>-0.11799999999999999</v>
      </c>
      <c r="R116" s="69">
        <f>'50% Exceedance Baseline'!R116</f>
        <v>-0.11799999999999999</v>
      </c>
      <c r="S116" s="106"/>
      <c r="T116" s="100" t="str">
        <f>'50% Exceedance Baseline'!T116</f>
        <v>Percentage total inputs lost or gained due to streambed hydrology (2002-2015 WWBWC seepage data)</v>
      </c>
      <c r="U116" s="83"/>
    </row>
    <row r="117" spans="2:22" s="26" customFormat="1" x14ac:dyDescent="0.25">
      <c r="B117" s="84" t="s">
        <v>20</v>
      </c>
      <c r="C117" s="57">
        <f>SUM(C114+C96)*(1+C116)</f>
        <v>0</v>
      </c>
      <c r="D117" s="57">
        <f t="shared" ref="D117:N117" si="66">SUM(D114+D96)*(1+D116)</f>
        <v>0</v>
      </c>
      <c r="E117" s="57">
        <f t="shared" si="66"/>
        <v>0</v>
      </c>
      <c r="F117" s="57">
        <f t="shared" si="66"/>
        <v>63.457365419999988</v>
      </c>
      <c r="G117" s="57">
        <f t="shared" si="66"/>
        <v>115.83594617999999</v>
      </c>
      <c r="H117" s="57">
        <f t="shared" si="66"/>
        <v>65.769396419999978</v>
      </c>
      <c r="I117" s="57">
        <f t="shared" si="66"/>
        <v>51.174097864960004</v>
      </c>
      <c r="J117" s="57">
        <f t="shared" si="66"/>
        <v>50.453335923200001</v>
      </c>
      <c r="K117" s="57">
        <f t="shared" si="66"/>
        <v>68.389008883650007</v>
      </c>
      <c r="L117" s="57">
        <f t="shared" si="66"/>
        <v>67.772891686500017</v>
      </c>
      <c r="M117" s="57">
        <f t="shared" si="66"/>
        <v>43.046797510695001</v>
      </c>
      <c r="N117" s="57">
        <f t="shared" si="66"/>
        <v>43.689287025779997</v>
      </c>
      <c r="O117" s="57">
        <f>SUM(O114+O96)*(1+O116)</f>
        <v>46.71504354999999</v>
      </c>
      <c r="P117" s="122">
        <f>SUM(P114+P96)*(1+P116)</f>
        <v>48.583645291999993</v>
      </c>
      <c r="Q117" s="57">
        <f>SUM(Q114+Q96)*(1+Q116)</f>
        <v>36.871820435268006</v>
      </c>
      <c r="R117" s="68">
        <f>SUM(R114+R96)*(1+R116)</f>
        <v>26.198398730322001</v>
      </c>
      <c r="S117" s="110"/>
      <c r="T117" s="100" t="str">
        <f>'50% Exceedance Baseline'!T117</f>
        <v>Total of all upstream input flow adjusted for streambed loss or gain</v>
      </c>
      <c r="U117" s="25"/>
    </row>
    <row r="118" spans="2:22" ht="15.75" thickBot="1" x14ac:dyDescent="0.3">
      <c r="B118" s="7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3"/>
      <c r="S118" s="110"/>
    </row>
    <row r="119" spans="2:22" ht="16.5" thickBot="1" x14ac:dyDescent="0.3">
      <c r="B119" s="41" t="s">
        <v>56</v>
      </c>
      <c r="C119" s="123">
        <v>481</v>
      </c>
      <c r="D119" s="123">
        <v>364.5</v>
      </c>
      <c r="E119" s="123">
        <v>371.5</v>
      </c>
      <c r="F119" s="123">
        <v>216</v>
      </c>
      <c r="G119" s="123">
        <v>116</v>
      </c>
      <c r="H119" s="123">
        <v>69.8</v>
      </c>
      <c r="I119" s="123">
        <v>39.299999999999997</v>
      </c>
      <c r="J119" s="123">
        <v>38.200000000000003</v>
      </c>
      <c r="K119" s="123">
        <v>38.85</v>
      </c>
      <c r="L119" s="123">
        <v>42.4</v>
      </c>
      <c r="M119" s="123">
        <v>50.9</v>
      </c>
      <c r="N119" s="123">
        <v>57.95</v>
      </c>
      <c r="O119" s="123">
        <v>45</v>
      </c>
      <c r="P119" s="123">
        <v>48.7</v>
      </c>
      <c r="Q119" s="123">
        <v>61</v>
      </c>
      <c r="R119" s="123">
        <v>92.7</v>
      </c>
      <c r="S119" s="109"/>
      <c r="T119" s="100" t="str">
        <f>'50% Exceedance Baseline'!T119</f>
        <v>Median flow data at S-110 gage (2002-2016)</v>
      </c>
    </row>
    <row r="120" spans="2:22" x14ac:dyDescent="0.25">
      <c r="B120" s="47" t="s">
        <v>40</v>
      </c>
      <c r="C120" s="48">
        <f>C119+C117</f>
        <v>481</v>
      </c>
      <c r="D120" s="48">
        <f t="shared" ref="D120:E120" si="67">D119+D117</f>
        <v>364.5</v>
      </c>
      <c r="E120" s="48">
        <f t="shared" si="67"/>
        <v>371.5</v>
      </c>
      <c r="F120" s="48">
        <f>F119+F117</f>
        <v>279.45736541999997</v>
      </c>
      <c r="G120" s="48">
        <f t="shared" ref="G120:H120" si="68">G119+G117</f>
        <v>231.83594618000001</v>
      </c>
      <c r="H120" s="48">
        <f t="shared" si="68"/>
        <v>135.56939641999998</v>
      </c>
      <c r="I120" s="48">
        <f>I119+I117</f>
        <v>90.474097864960001</v>
      </c>
      <c r="J120" s="48">
        <f t="shared" ref="J120:N120" si="69">J119+J117</f>
        <v>88.653335923200004</v>
      </c>
      <c r="K120" s="48">
        <f t="shared" si="69"/>
        <v>107.23900888365</v>
      </c>
      <c r="L120" s="48">
        <f t="shared" si="69"/>
        <v>110.17289168650001</v>
      </c>
      <c r="M120" s="48">
        <f t="shared" si="69"/>
        <v>93.946797510695006</v>
      </c>
      <c r="N120" s="48">
        <f t="shared" si="69"/>
        <v>101.63928702577999</v>
      </c>
      <c r="O120" s="48">
        <f>O119+O117</f>
        <v>91.71504354999999</v>
      </c>
      <c r="P120" s="48">
        <f>P119+P117</f>
        <v>97.283645291999989</v>
      </c>
      <c r="Q120" s="48">
        <f>Q119+Q117</f>
        <v>97.871820435268006</v>
      </c>
      <c r="R120" s="49">
        <f>R119+R117</f>
        <v>118.898398730322</v>
      </c>
      <c r="S120" s="111"/>
      <c r="T120" s="100" t="str">
        <f>'50% Exceedance Baseline'!T120</f>
        <v>Flow gage data plus cumulative inputs adjusted for streambed loss or gain</v>
      </c>
    </row>
    <row r="121" spans="2:22" x14ac:dyDescent="0.25">
      <c r="B121" s="10" t="s">
        <v>8</v>
      </c>
      <c r="C121" s="8">
        <f>$C$16</f>
        <v>150</v>
      </c>
      <c r="D121" s="8">
        <f>$D$16</f>
        <v>150</v>
      </c>
      <c r="E121" s="8">
        <f>$E$16</f>
        <v>150</v>
      </c>
      <c r="F121" s="8">
        <f>$F$16</f>
        <v>150</v>
      </c>
      <c r="G121" s="8">
        <f>$G$16</f>
        <v>150</v>
      </c>
      <c r="H121" s="8">
        <f>$H$16</f>
        <v>100</v>
      </c>
      <c r="I121" s="8">
        <f>$I$16</f>
        <v>65</v>
      </c>
      <c r="J121" s="8">
        <f>$J$16</f>
        <v>65</v>
      </c>
      <c r="K121" s="8">
        <f>$K$16</f>
        <v>65</v>
      </c>
      <c r="L121" s="8">
        <f>$L$16</f>
        <v>65</v>
      </c>
      <c r="M121" s="8">
        <f>$M$16</f>
        <v>65</v>
      </c>
      <c r="N121" s="8">
        <f>$N$16</f>
        <v>65</v>
      </c>
      <c r="O121" s="8">
        <f>$O$16</f>
        <v>65</v>
      </c>
      <c r="P121" s="8">
        <f>$P$16</f>
        <v>65</v>
      </c>
      <c r="Q121" s="8">
        <f>$Q$16</f>
        <v>65</v>
      </c>
      <c r="R121" s="9">
        <f>$R$16</f>
        <v>65</v>
      </c>
      <c r="S121" s="112"/>
      <c r="T121" s="100" t="str">
        <f>'50% Exceedance Baseline'!T121</f>
        <v>Target flows</v>
      </c>
    </row>
    <row r="122" spans="2:22" ht="15.75" thickBot="1" x14ac:dyDescent="0.3">
      <c r="B122" s="37" t="s">
        <v>14</v>
      </c>
      <c r="C122" s="38">
        <f>IF(C120&gt;C121,0,(C121-C120)*-1)</f>
        <v>0</v>
      </c>
      <c r="D122" s="38">
        <f t="shared" ref="D122:E122" si="70">IF(D120&gt;D121,0,(D121-D120)*-1)</f>
        <v>0</v>
      </c>
      <c r="E122" s="38">
        <f t="shared" si="70"/>
        <v>0</v>
      </c>
      <c r="F122" s="38">
        <f>IF(F120&gt;F121,0,(F121-F120)*-1)</f>
        <v>0</v>
      </c>
      <c r="G122" s="38">
        <f t="shared" ref="G122:N122" si="71">IF(G120&gt;G121,0,(G121-G120)*-1)</f>
        <v>0</v>
      </c>
      <c r="H122" s="38">
        <f>IF(H120&gt;H121,0,(H121-H120)*-1)</f>
        <v>0</v>
      </c>
      <c r="I122" s="38">
        <f t="shared" si="71"/>
        <v>0</v>
      </c>
      <c r="J122" s="38">
        <f t="shared" si="71"/>
        <v>0</v>
      </c>
      <c r="K122" s="38">
        <f t="shared" si="71"/>
        <v>0</v>
      </c>
      <c r="L122" s="38">
        <f t="shared" si="71"/>
        <v>0</v>
      </c>
      <c r="M122" s="38">
        <f t="shared" si="71"/>
        <v>0</v>
      </c>
      <c r="N122" s="38">
        <f t="shared" si="71"/>
        <v>0</v>
      </c>
      <c r="O122" s="38">
        <f>IF(O120&gt;O121,0,(O121-O120)*-1)</f>
        <v>0</v>
      </c>
      <c r="P122" s="38">
        <f>IF(P120&gt;P121,0,(P121-P120)*-1)</f>
        <v>0</v>
      </c>
      <c r="Q122" s="38">
        <f>IF(Q120&gt;Q121,0,(Q121-Q120)*-1)</f>
        <v>0</v>
      </c>
      <c r="R122" s="39">
        <f>IF(R120&gt;R121,0,(R121-R120)*-1)</f>
        <v>0</v>
      </c>
      <c r="S122" s="105"/>
      <c r="T122" s="100" t="str">
        <f>'50% Exceedance Baseline'!T122</f>
        <v>Deficit between target flows and flow gage data plus total adjusted inputs</v>
      </c>
    </row>
    <row r="123" spans="2:22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115"/>
    </row>
    <row r="124" spans="2:22" x14ac:dyDescent="0.25">
      <c r="B124" s="86" t="s">
        <v>18</v>
      </c>
      <c r="C124" s="99">
        <f>'50% Exceedance Baseline'!C124</f>
        <v>30</v>
      </c>
      <c r="D124" s="99">
        <f>'50% Exceedance Baseline'!D124</f>
        <v>30</v>
      </c>
      <c r="E124" s="99">
        <f>'50% Exceedance Baseline'!E124</f>
        <v>30</v>
      </c>
      <c r="F124" s="99">
        <f>'50% Exceedance Baseline'!F124</f>
        <v>30</v>
      </c>
      <c r="G124" s="99">
        <f>'50% Exceedance Baseline'!G124</f>
        <v>30</v>
      </c>
      <c r="H124" s="99">
        <f>'50% Exceedance Baseline'!H124</f>
        <v>30</v>
      </c>
      <c r="I124" s="99">
        <f>'50% Exceedance Baseline'!I124</f>
        <v>18</v>
      </c>
      <c r="J124" s="99">
        <f>'50% Exceedance Baseline'!J124</f>
        <v>22</v>
      </c>
      <c r="K124" s="99">
        <f>'50% Exceedance Baseline'!K124</f>
        <v>22</v>
      </c>
      <c r="L124" s="99">
        <f>'50% Exceedance Baseline'!L124</f>
        <v>22</v>
      </c>
      <c r="M124" s="99">
        <f>'50% Exceedance Baseline'!M124</f>
        <v>25</v>
      </c>
      <c r="N124" s="99">
        <f>'50% Exceedance Baseline'!N124</f>
        <v>25</v>
      </c>
      <c r="O124" s="99">
        <f>'50% Exceedance Baseline'!O124</f>
        <v>0</v>
      </c>
      <c r="P124" s="99">
        <f>'50% Exceedance Baseline'!P124</f>
        <v>0</v>
      </c>
      <c r="Q124" s="99">
        <f>'50% Exceedance Baseline'!Q124</f>
        <v>30</v>
      </c>
      <c r="R124" s="99">
        <f>'50% Exceedance Baseline'!R124</f>
        <v>30</v>
      </c>
      <c r="S124" s="116"/>
    </row>
    <row r="125" spans="2:22" x14ac:dyDescent="0.25">
      <c r="B125" s="86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117"/>
    </row>
    <row r="126" spans="2:22" ht="15.75" thickBot="1" x14ac:dyDescent="0.3">
      <c r="B126" s="65" t="s">
        <v>66</v>
      </c>
      <c r="C126" s="140">
        <f>IF(C127&gt;0,2,0)</f>
        <v>0</v>
      </c>
      <c r="D126" s="140">
        <f t="shared" ref="D126:R126" si="72">IF(D127&gt;0,2,0)</f>
        <v>0</v>
      </c>
      <c r="E126" s="140">
        <f t="shared" si="72"/>
        <v>0</v>
      </c>
      <c r="F126" s="140">
        <f t="shared" si="72"/>
        <v>2</v>
      </c>
      <c r="G126" s="140">
        <f t="shared" si="72"/>
        <v>2</v>
      </c>
      <c r="H126" s="140">
        <f t="shared" si="72"/>
        <v>2</v>
      </c>
      <c r="I126" s="140">
        <f t="shared" si="72"/>
        <v>2</v>
      </c>
      <c r="J126" s="140">
        <f t="shared" si="72"/>
        <v>2</v>
      </c>
      <c r="K126" s="140">
        <f t="shared" si="72"/>
        <v>2</v>
      </c>
      <c r="L126" s="140">
        <f t="shared" si="72"/>
        <v>2</v>
      </c>
      <c r="M126" s="140">
        <f t="shared" si="72"/>
        <v>2</v>
      </c>
      <c r="N126" s="140">
        <f t="shared" si="72"/>
        <v>2</v>
      </c>
      <c r="O126" s="140">
        <f t="shared" si="72"/>
        <v>2</v>
      </c>
      <c r="P126" s="140">
        <f t="shared" si="72"/>
        <v>2</v>
      </c>
      <c r="Q126" s="140">
        <f t="shared" si="72"/>
        <v>2</v>
      </c>
      <c r="R126" s="140">
        <f t="shared" si="72"/>
        <v>0</v>
      </c>
      <c r="S126" s="27"/>
      <c r="T126" s="101" t="s">
        <v>118</v>
      </c>
      <c r="U126" s="139">
        <f>SUM(C126:R126)*15*1.9835</f>
        <v>714.06000000000006</v>
      </c>
      <c r="V126" s="11" t="s">
        <v>124</v>
      </c>
    </row>
    <row r="127" spans="2:22" ht="15.75" thickBot="1" x14ac:dyDescent="0.3">
      <c r="B127" s="72" t="s">
        <v>113</v>
      </c>
      <c r="C127" s="46">
        <v>0</v>
      </c>
      <c r="D127" s="46">
        <v>0</v>
      </c>
      <c r="E127" s="46">
        <v>0</v>
      </c>
      <c r="F127" s="46">
        <v>30</v>
      </c>
      <c r="G127" s="46">
        <v>30</v>
      </c>
      <c r="H127" s="46">
        <v>30</v>
      </c>
      <c r="I127" s="46">
        <v>4</v>
      </c>
      <c r="J127" s="46">
        <v>6</v>
      </c>
      <c r="K127" s="46">
        <v>22</v>
      </c>
      <c r="L127" s="46">
        <v>22</v>
      </c>
      <c r="M127" s="46">
        <v>3</v>
      </c>
      <c r="N127" s="46">
        <v>1</v>
      </c>
      <c r="O127" s="46">
        <v>4</v>
      </c>
      <c r="P127" s="46">
        <v>3</v>
      </c>
      <c r="Q127" s="46">
        <v>1</v>
      </c>
      <c r="R127" s="46">
        <v>0</v>
      </c>
      <c r="S127" s="105"/>
      <c r="T127" s="100" t="str">
        <f>'50% Exceedance Baseline'!T127</f>
        <v>Flow input between Mgt. Pt. 5 and Mgt. Pt. 6</v>
      </c>
    </row>
    <row r="128" spans="2:22" x14ac:dyDescent="0.25">
      <c r="B128" s="79" t="s">
        <v>7</v>
      </c>
      <c r="C128" s="16">
        <f>IF(C142&gt;C141,((C142-C141)*-1),((C141-C142)))</f>
        <v>158.56458739999999</v>
      </c>
      <c r="D128" s="16">
        <f t="shared" ref="D128:E128" si="73">IF(D142&gt;D141,((D142-D141)*-1),((D141-D142)))</f>
        <v>38.865621000000004</v>
      </c>
      <c r="E128" s="16">
        <f t="shared" si="73"/>
        <v>11.087229799999989</v>
      </c>
      <c r="F128" s="16">
        <f>IF(F142&gt;F141,((F142-F141)*-1),((F141-F142)))</f>
        <v>0.90599504907999062</v>
      </c>
      <c r="G128" s="16">
        <f>IF(G142&gt;G141,((G142-G141)*-1),((G141-G142)))</f>
        <v>1.3853509320000512E-2</v>
      </c>
      <c r="H128" s="16">
        <f t="shared" ref="H128:R128" si="74">IF(H142&gt;H141,((H142-H141)*-1),((H141-H142)))</f>
        <v>0.6741403250799749</v>
      </c>
      <c r="I128" s="16">
        <f t="shared" si="74"/>
        <v>0.18523936047104428</v>
      </c>
      <c r="J128" s="16">
        <f t="shared" si="74"/>
        <v>0.7988124191968069</v>
      </c>
      <c r="K128" s="16">
        <f t="shared" si="74"/>
        <v>30.041414360678161</v>
      </c>
      <c r="L128" s="16">
        <f t="shared" si="74"/>
        <v>29.175627740131532</v>
      </c>
      <c r="M128" s="16">
        <f t="shared" si="74"/>
        <v>1.1129534524570488</v>
      </c>
      <c r="N128" s="16">
        <f t="shared" si="74"/>
        <v>7.1582491001180415E-2</v>
      </c>
      <c r="O128" s="16">
        <f t="shared" si="74"/>
        <v>0.83807865504999768</v>
      </c>
      <c r="P128" s="16">
        <f t="shared" si="74"/>
        <v>0.62191423685199254</v>
      </c>
      <c r="Q128" s="16">
        <f t="shared" si="74"/>
        <v>0.5299980852345243</v>
      </c>
      <c r="R128" s="14">
        <f t="shared" si="74"/>
        <v>19.643966277929792</v>
      </c>
      <c r="S128" s="18"/>
      <c r="T128" s="100" t="str">
        <f>'50% Exceedance Baseline'!T128</f>
        <v>Flow target surplus or deficit after input</v>
      </c>
    </row>
    <row r="129" spans="2:21" ht="15.75" thickBot="1" x14ac:dyDescent="0.3">
      <c r="B129" s="135" t="s">
        <v>115</v>
      </c>
      <c r="C129" s="136">
        <f t="shared" ref="C129:R129" si="75">C127*15*1.9835</f>
        <v>0</v>
      </c>
      <c r="D129" s="136">
        <f t="shared" si="75"/>
        <v>0</v>
      </c>
      <c r="E129" s="136">
        <f t="shared" si="75"/>
        <v>0</v>
      </c>
      <c r="F129" s="136">
        <f t="shared" si="75"/>
        <v>892.57500000000005</v>
      </c>
      <c r="G129" s="136">
        <f>G127*15*1.9835</f>
        <v>892.57500000000005</v>
      </c>
      <c r="H129" s="136">
        <f t="shared" si="75"/>
        <v>892.57500000000005</v>
      </c>
      <c r="I129" s="136">
        <f>I127*15*1.9835</f>
        <v>119.01</v>
      </c>
      <c r="J129" s="136">
        <f t="shared" si="75"/>
        <v>178.51500000000001</v>
      </c>
      <c r="K129" s="136">
        <f t="shared" si="75"/>
        <v>654.55500000000006</v>
      </c>
      <c r="L129" s="136">
        <f t="shared" si="75"/>
        <v>654.55500000000006</v>
      </c>
      <c r="M129" s="136">
        <f t="shared" si="75"/>
        <v>89.257500000000007</v>
      </c>
      <c r="N129" s="136">
        <f t="shared" si="75"/>
        <v>29.752500000000001</v>
      </c>
      <c r="O129" s="136">
        <f t="shared" si="75"/>
        <v>119.01</v>
      </c>
      <c r="P129" s="136">
        <f t="shared" si="75"/>
        <v>89.257500000000007</v>
      </c>
      <c r="Q129" s="136">
        <f t="shared" si="75"/>
        <v>29.752500000000001</v>
      </c>
      <c r="R129" s="137">
        <f t="shared" si="75"/>
        <v>0</v>
      </c>
      <c r="S129" s="136"/>
      <c r="T129" s="101" t="s">
        <v>118</v>
      </c>
      <c r="U129" s="139">
        <f>SUM(C129:R129)</f>
        <v>4641.3899999999994</v>
      </c>
    </row>
    <row r="130" spans="2:21" ht="15.75" thickBot="1" x14ac:dyDescent="0.3">
      <c r="B130" s="73" t="s">
        <v>6</v>
      </c>
      <c r="C130" s="46">
        <v>0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121">
        <v>0</v>
      </c>
      <c r="R130" s="46">
        <v>0</v>
      </c>
      <c r="S130" s="105"/>
      <c r="T130" s="100" t="str">
        <f>'50% Exceedance Baseline'!T130</f>
        <v>Flow input between Mgt. Pt. 5 and Mgt. Pt. 6</v>
      </c>
    </row>
    <row r="131" spans="2:21" x14ac:dyDescent="0.25">
      <c r="B131" s="79" t="s">
        <v>7</v>
      </c>
      <c r="C131" s="16">
        <f>IF(C142&gt;C141,((C142-C141)*-1),((C141-C142)))</f>
        <v>158.56458739999999</v>
      </c>
      <c r="D131" s="16">
        <f t="shared" ref="D131:R131" si="76">IF(D142&gt;D141,((D142-D141)*-1),((D141-D142)))</f>
        <v>38.865621000000004</v>
      </c>
      <c r="E131" s="16">
        <f t="shared" si="76"/>
        <v>11.087229799999989</v>
      </c>
      <c r="F131" s="16">
        <f t="shared" si="76"/>
        <v>0.90599504907999062</v>
      </c>
      <c r="G131" s="16">
        <f t="shared" si="76"/>
        <v>1.3853509320000512E-2</v>
      </c>
      <c r="H131" s="16">
        <f t="shared" si="76"/>
        <v>0.6741403250799749</v>
      </c>
      <c r="I131" s="16">
        <f t="shared" si="76"/>
        <v>0.18523936047104428</v>
      </c>
      <c r="J131" s="16">
        <f t="shared" si="76"/>
        <v>0.7988124191968069</v>
      </c>
      <c r="K131" s="16">
        <f t="shared" si="76"/>
        <v>30.041414360678161</v>
      </c>
      <c r="L131" s="16">
        <f t="shared" si="76"/>
        <v>29.175627740131532</v>
      </c>
      <c r="M131" s="16">
        <f t="shared" si="76"/>
        <v>1.1129534524570488</v>
      </c>
      <c r="N131" s="16">
        <f t="shared" si="76"/>
        <v>7.1582491001180415E-2</v>
      </c>
      <c r="O131" s="16">
        <f t="shared" si="76"/>
        <v>0.83807865504999768</v>
      </c>
      <c r="P131" s="16">
        <f t="shared" si="76"/>
        <v>0.62191423685199254</v>
      </c>
      <c r="Q131" s="16">
        <f t="shared" si="76"/>
        <v>0.5299980852345243</v>
      </c>
      <c r="R131" s="14">
        <f t="shared" si="76"/>
        <v>19.643966277929792</v>
      </c>
      <c r="S131" s="18"/>
      <c r="T131" s="100" t="str">
        <f>'50% Exceedance Baseline'!T131</f>
        <v>Flow target surplus or deficit after input</v>
      </c>
    </row>
    <row r="132" spans="2:21" s="138" customFormat="1" ht="15.75" thickBot="1" x14ac:dyDescent="0.3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7"/>
      <c r="S132" s="136"/>
      <c r="T132" s="101"/>
      <c r="U132" s="139"/>
    </row>
    <row r="133" spans="2:21" ht="15.75" thickBot="1" x14ac:dyDescent="0.3">
      <c r="B133" s="73" t="s">
        <v>60</v>
      </c>
      <c r="C133" s="46">
        <v>0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121">
        <v>0</v>
      </c>
      <c r="R133" s="46">
        <v>0</v>
      </c>
      <c r="S133" s="105"/>
      <c r="T133" s="100" t="str">
        <f>'50% Exceedance Baseline'!T133</f>
        <v>Flow input between Mgt. Pt. 5 and Mgt. Pt. 6</v>
      </c>
    </row>
    <row r="134" spans="2:21" x14ac:dyDescent="0.25">
      <c r="B134" s="79" t="s">
        <v>7</v>
      </c>
      <c r="C134" s="16">
        <f>IF(C142&gt;C141,((C142-C141)*-1),((C141-C142)))</f>
        <v>158.56458739999999</v>
      </c>
      <c r="D134" s="16">
        <f t="shared" ref="D134:R134" si="77">IF(D142&gt;D141,((D142-D141)*-1),((D141-D142)))</f>
        <v>38.865621000000004</v>
      </c>
      <c r="E134" s="16">
        <f>IF(E142&gt;E141,((E142-E141)*-1),((E141-E142)))</f>
        <v>11.087229799999989</v>
      </c>
      <c r="F134" s="16">
        <f t="shared" si="77"/>
        <v>0.90599504907999062</v>
      </c>
      <c r="G134" s="16">
        <f t="shared" si="77"/>
        <v>1.3853509320000512E-2</v>
      </c>
      <c r="H134" s="16">
        <f t="shared" si="77"/>
        <v>0.6741403250799749</v>
      </c>
      <c r="I134" s="16">
        <f t="shared" si="77"/>
        <v>0.18523936047104428</v>
      </c>
      <c r="J134" s="16">
        <f t="shared" si="77"/>
        <v>0.7988124191968069</v>
      </c>
      <c r="K134" s="16">
        <f t="shared" si="77"/>
        <v>30.041414360678161</v>
      </c>
      <c r="L134" s="16">
        <f t="shared" si="77"/>
        <v>29.175627740131532</v>
      </c>
      <c r="M134" s="16">
        <f t="shared" si="77"/>
        <v>1.1129534524570488</v>
      </c>
      <c r="N134" s="16">
        <f t="shared" si="77"/>
        <v>7.1582491001180415E-2</v>
      </c>
      <c r="O134" s="16">
        <f t="shared" si="77"/>
        <v>0.83807865504999768</v>
      </c>
      <c r="P134" s="16">
        <f t="shared" si="77"/>
        <v>0.62191423685199254</v>
      </c>
      <c r="Q134" s="16">
        <f t="shared" si="77"/>
        <v>0.5299980852345243</v>
      </c>
      <c r="R134" s="14">
        <f t="shared" si="77"/>
        <v>19.643966277929792</v>
      </c>
      <c r="S134" s="18"/>
      <c r="T134" s="100" t="str">
        <f>'50% Exceedance Baseline'!T134</f>
        <v>Flow target surplus or deficit after input</v>
      </c>
    </row>
    <row r="135" spans="2:21" s="32" customFormat="1" x14ac:dyDescent="0.25">
      <c r="B135" s="81" t="s">
        <v>25</v>
      </c>
      <c r="C135" s="18">
        <f t="shared" ref="C135:F135" si="78">SUM(C127+C130+C133)</f>
        <v>0</v>
      </c>
      <c r="D135" s="18">
        <f t="shared" si="78"/>
        <v>0</v>
      </c>
      <c r="E135" s="18">
        <f t="shared" si="78"/>
        <v>0</v>
      </c>
      <c r="F135" s="18">
        <f t="shared" si="78"/>
        <v>30</v>
      </c>
      <c r="G135" s="18">
        <f>SUM(G127+G130+G133)</f>
        <v>30</v>
      </c>
      <c r="H135" s="18">
        <f t="shared" ref="H135:N135" si="79">SUM(H127+H130+H133)</f>
        <v>30</v>
      </c>
      <c r="I135" s="18">
        <f t="shared" si="79"/>
        <v>4</v>
      </c>
      <c r="J135" s="18">
        <f t="shared" si="79"/>
        <v>6</v>
      </c>
      <c r="K135" s="18">
        <f t="shared" si="79"/>
        <v>22</v>
      </c>
      <c r="L135" s="18">
        <f t="shared" si="79"/>
        <v>22</v>
      </c>
      <c r="M135" s="18">
        <f t="shared" si="79"/>
        <v>3</v>
      </c>
      <c r="N135" s="18">
        <f t="shared" si="79"/>
        <v>1</v>
      </c>
      <c r="O135" s="18">
        <f>SUM(O127+O130+O133)</f>
        <v>4</v>
      </c>
      <c r="P135" s="18">
        <f>SUM(P127+P130+P133)</f>
        <v>3</v>
      </c>
      <c r="Q135" s="18">
        <f>SUM(Q127+Q130+Q133)</f>
        <v>1</v>
      </c>
      <c r="R135" s="17">
        <f>SUM(R127+R130+R133)</f>
        <v>0</v>
      </c>
      <c r="S135" s="18"/>
      <c r="T135" s="100" t="str">
        <f>'50% Exceedance Baseline'!T135</f>
        <v>Subtotal of all inputs in Detour Road to McDonald Road reach</v>
      </c>
      <c r="U135" s="31"/>
    </row>
    <row r="136" spans="2:21" s="26" customFormat="1" ht="15.75" thickBot="1" x14ac:dyDescent="0.3">
      <c r="B136" s="80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7"/>
      <c r="S136" s="18"/>
      <c r="T136" s="100"/>
      <c r="U136" s="25"/>
    </row>
    <row r="137" spans="2:21" s="64" customFormat="1" ht="15.75" thickBot="1" x14ac:dyDescent="0.3">
      <c r="B137" s="70" t="s">
        <v>69</v>
      </c>
      <c r="C137" s="69">
        <f>'50% Exceedance Baseline'!C137</f>
        <v>-2.5999999999999999E-2</v>
      </c>
      <c r="D137" s="69">
        <f>'50% Exceedance Baseline'!D137</f>
        <v>-2.5999999999999999E-2</v>
      </c>
      <c r="E137" s="69">
        <f>'50% Exceedance Baseline'!E137</f>
        <v>-2.5999999999999999E-2</v>
      </c>
      <c r="F137" s="69">
        <f>'50% Exceedance Baseline'!F137</f>
        <v>-2.5999999999999999E-2</v>
      </c>
      <c r="G137" s="69">
        <f>'50% Exceedance Baseline'!G137</f>
        <v>-2.5999999999999999E-2</v>
      </c>
      <c r="H137" s="69">
        <f>'50% Exceedance Baseline'!H137</f>
        <v>-2.5999999999999999E-2</v>
      </c>
      <c r="I137" s="69">
        <f>'50% Exceedance Baseline'!I137</f>
        <v>-2.5999999999999999E-2</v>
      </c>
      <c r="J137" s="69">
        <f>'50% Exceedance Baseline'!J137</f>
        <v>-2.5999999999999999E-2</v>
      </c>
      <c r="K137" s="69">
        <f>'50% Exceedance Baseline'!K137</f>
        <v>-6.9000000000000006E-2</v>
      </c>
      <c r="L137" s="69">
        <f>'50% Exceedance Baseline'!L137</f>
        <v>-6.9000000000000006E-2</v>
      </c>
      <c r="M137" s="69">
        <f>'50% Exceedance Baseline'!M137</f>
        <v>-6.9000000000000006E-2</v>
      </c>
      <c r="N137" s="69">
        <f>'50% Exceedance Baseline'!N137</f>
        <v>-6.9000000000000006E-2</v>
      </c>
      <c r="O137" s="69">
        <f>'50% Exceedance Baseline'!O137</f>
        <v>-6.9000000000000006E-2</v>
      </c>
      <c r="P137" s="69">
        <f>'50% Exceedance Baseline'!P137</f>
        <v>-6.9000000000000006E-2</v>
      </c>
      <c r="Q137" s="69">
        <f>'50% Exceedance Baseline'!Q137</f>
        <v>-6.9000000000000006E-2</v>
      </c>
      <c r="R137" s="69">
        <f>'50% Exceedance Baseline'!R137</f>
        <v>-6.9000000000000006E-2</v>
      </c>
      <c r="S137" s="107"/>
      <c r="T137" s="100" t="str">
        <f>'50% Exceedance Baseline'!T137</f>
        <v>Percentage total inputs lost or gained due to streambed hydrology (2002-2015 WWBWC seepage data); estimated current rates reduced by 10% to reflect assumed seepage reductions from future projects</v>
      </c>
      <c r="U137" s="83"/>
    </row>
    <row r="138" spans="2:21" s="26" customFormat="1" x14ac:dyDescent="0.25">
      <c r="B138" s="84" t="s">
        <v>20</v>
      </c>
      <c r="C138" s="57">
        <f>SUM(C135+C117)*(1+C137)</f>
        <v>0</v>
      </c>
      <c r="D138" s="57">
        <f t="shared" ref="D138:N138" si="80">SUM(D135+D117)*(1+D137)</f>
        <v>0</v>
      </c>
      <c r="E138" s="57">
        <f t="shared" si="80"/>
        <v>0</v>
      </c>
      <c r="F138" s="57">
        <f t="shared" si="80"/>
        <v>91.027473919079981</v>
      </c>
      <c r="G138" s="57">
        <f t="shared" si="80"/>
        <v>142.04421157932001</v>
      </c>
      <c r="H138" s="57">
        <f t="shared" si="80"/>
        <v>93.279392113079979</v>
      </c>
      <c r="I138" s="57">
        <f t="shared" si="80"/>
        <v>53.739571320471043</v>
      </c>
      <c r="J138" s="57">
        <f t="shared" si="80"/>
        <v>54.985549189196803</v>
      </c>
      <c r="K138" s="57">
        <f t="shared" si="80"/>
        <v>84.152167270678163</v>
      </c>
      <c r="L138" s="57">
        <f t="shared" si="80"/>
        <v>83.578562160131526</v>
      </c>
      <c r="M138" s="57">
        <f t="shared" si="80"/>
        <v>42.869568482457048</v>
      </c>
      <c r="N138" s="57">
        <f t="shared" si="80"/>
        <v>41.605726221001177</v>
      </c>
      <c r="O138" s="57">
        <f>SUM(O135+O117)*(1+O137)</f>
        <v>47.215705545049993</v>
      </c>
      <c r="P138" s="122">
        <f>SUM(P135+P117)*(1+P137)</f>
        <v>48.024373766851994</v>
      </c>
      <c r="Q138" s="57">
        <f>SUM(Q135+Q117)*(1+Q137)</f>
        <v>35.258664825234519</v>
      </c>
      <c r="R138" s="68">
        <f>SUM(R135+R117)*(1+R137)</f>
        <v>24.390709217929786</v>
      </c>
      <c r="S138" s="110"/>
      <c r="T138" s="100" t="str">
        <f>'50% Exceedance Baseline'!T138</f>
        <v>Total of all upstream input flow adjusted for streambed loss or gain</v>
      </c>
      <c r="U138" s="25"/>
    </row>
    <row r="139" spans="2:21" ht="15.75" thickBot="1" x14ac:dyDescent="0.3">
      <c r="B139" s="71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3"/>
      <c r="S139" s="110"/>
    </row>
    <row r="140" spans="2:21" ht="15.75" thickBot="1" x14ac:dyDescent="0.3">
      <c r="B140" s="42" t="s">
        <v>57</v>
      </c>
      <c r="C140" s="123">
        <f>'50% Exceedance Baseline'!C140</f>
        <v>308.56458739999999</v>
      </c>
      <c r="D140" s="123">
        <f>'50% Exceedance Baseline'!D140</f>
        <v>188.865621</v>
      </c>
      <c r="E140" s="123">
        <f>'50% Exceedance Baseline'!E140</f>
        <v>161.08722979999999</v>
      </c>
      <c r="F140" s="123">
        <f>'50% Exceedance Baseline'!F140</f>
        <v>59.878521130000003</v>
      </c>
      <c r="G140" s="123">
        <f>'50% Exceedance Baseline'!G140</f>
        <v>7.9696419299999999</v>
      </c>
      <c r="H140" s="123">
        <f>'50% Exceedance Baseline'!H140</f>
        <v>7.3947482119999997</v>
      </c>
      <c r="I140" s="123">
        <f>'50% Exceedance Baseline'!I140</f>
        <v>11.445668039999999</v>
      </c>
      <c r="J140" s="123">
        <f>'50% Exceedance Baseline'!J140</f>
        <v>10.81326323</v>
      </c>
      <c r="K140" s="123">
        <f>'50% Exceedance Baseline'!K140</f>
        <v>10.88924709</v>
      </c>
      <c r="L140" s="123">
        <f>'50% Exceedance Baseline'!L140</f>
        <v>10.597065580000001</v>
      </c>
      <c r="M140" s="123">
        <f>'50% Exceedance Baseline'!M140</f>
        <v>23.243384970000001</v>
      </c>
      <c r="N140" s="123">
        <f>'50% Exceedance Baseline'!N140</f>
        <v>23.46585627</v>
      </c>
      <c r="O140" s="123">
        <f>'50% Exceedance Baseline'!O140</f>
        <v>18.622373110000002</v>
      </c>
      <c r="P140" s="123">
        <f>'50% Exceedance Baseline'!P140</f>
        <v>17.597540469999998</v>
      </c>
      <c r="Q140" s="123">
        <f>'50% Exceedance Baseline'!Q140</f>
        <v>30.271333259999999</v>
      </c>
      <c r="R140" s="123">
        <f>'50% Exceedance Baseline'!R140</f>
        <v>60.253257060000003</v>
      </c>
      <c r="S140" s="19"/>
      <c r="T140" s="100" t="str">
        <f>'50% Exceedance Baseline'!T140</f>
        <v>Median flow data at S-119 gage (2013-2016)</v>
      </c>
    </row>
    <row r="141" spans="2:21" x14ac:dyDescent="0.25">
      <c r="B141" s="47" t="s">
        <v>41</v>
      </c>
      <c r="C141" s="48">
        <f>C140+C138</f>
        <v>308.56458739999999</v>
      </c>
      <c r="D141" s="48">
        <f t="shared" ref="D141:E141" si="81">D140+D138</f>
        <v>188.865621</v>
      </c>
      <c r="E141" s="48">
        <f t="shared" si="81"/>
        <v>161.08722979999999</v>
      </c>
      <c r="F141" s="48">
        <f>F140+F138</f>
        <v>150.90599504907999</v>
      </c>
      <c r="G141" s="48">
        <f t="shared" ref="G141:H141" si="82">G140+G138</f>
        <v>150.01385350932</v>
      </c>
      <c r="H141" s="48">
        <f t="shared" si="82"/>
        <v>100.67414032507997</v>
      </c>
      <c r="I141" s="48">
        <f>I140+I138</f>
        <v>65.185239360471044</v>
      </c>
      <c r="J141" s="48">
        <f t="shared" ref="J141:N141" si="83">J140+J138</f>
        <v>65.798812419196807</v>
      </c>
      <c r="K141" s="48">
        <f t="shared" si="83"/>
        <v>95.041414360678161</v>
      </c>
      <c r="L141" s="48">
        <f t="shared" si="83"/>
        <v>94.175627740131532</v>
      </c>
      <c r="M141" s="48">
        <f t="shared" si="83"/>
        <v>66.112953452457049</v>
      </c>
      <c r="N141" s="48">
        <f t="shared" si="83"/>
        <v>65.07158249100118</v>
      </c>
      <c r="O141" s="48">
        <f>O140+O138</f>
        <v>65.838078655049998</v>
      </c>
      <c r="P141" s="48">
        <f>P140+P138</f>
        <v>65.621914236851993</v>
      </c>
      <c r="Q141" s="48">
        <f>Q140+Q138</f>
        <v>65.529998085234524</v>
      </c>
      <c r="R141" s="49">
        <f>R140+R138</f>
        <v>84.643966277929792</v>
      </c>
      <c r="S141" s="111"/>
      <c r="T141" s="100" t="str">
        <f>'50% Exceedance Baseline'!T141</f>
        <v>Flow gage data plus cumulative inputs adjusted for streambed loss or gain</v>
      </c>
    </row>
    <row r="142" spans="2:21" x14ac:dyDescent="0.25">
      <c r="B142" s="10" t="s">
        <v>8</v>
      </c>
      <c r="C142" s="8">
        <f>$C$16</f>
        <v>150</v>
      </c>
      <c r="D142" s="8">
        <f>$D$16</f>
        <v>150</v>
      </c>
      <c r="E142" s="8">
        <f>$E$16</f>
        <v>150</v>
      </c>
      <c r="F142" s="8">
        <f>$F$16</f>
        <v>150</v>
      </c>
      <c r="G142" s="8">
        <f>$G$16</f>
        <v>150</v>
      </c>
      <c r="H142" s="8">
        <f>$H$16</f>
        <v>100</v>
      </c>
      <c r="I142" s="8">
        <f>$I$16</f>
        <v>65</v>
      </c>
      <c r="J142" s="8">
        <f>$J$16</f>
        <v>65</v>
      </c>
      <c r="K142" s="8">
        <f>$K$16</f>
        <v>65</v>
      </c>
      <c r="L142" s="8">
        <f>$L$16</f>
        <v>65</v>
      </c>
      <c r="M142" s="8">
        <f>$M$16</f>
        <v>65</v>
      </c>
      <c r="N142" s="8">
        <f>$N$16</f>
        <v>65</v>
      </c>
      <c r="O142" s="8">
        <f>$O$16</f>
        <v>65</v>
      </c>
      <c r="P142" s="8">
        <f>$P$16</f>
        <v>65</v>
      </c>
      <c r="Q142" s="8">
        <f>$Q$16</f>
        <v>65</v>
      </c>
      <c r="R142" s="9">
        <f>$R$16</f>
        <v>65</v>
      </c>
      <c r="S142" s="112"/>
      <c r="T142" s="100" t="str">
        <f>'50% Exceedance Baseline'!T142</f>
        <v>Target flows</v>
      </c>
    </row>
    <row r="143" spans="2:21" ht="15.75" thickBot="1" x14ac:dyDescent="0.3">
      <c r="B143" s="37" t="s">
        <v>15</v>
      </c>
      <c r="C143" s="38">
        <f>IF(C141&gt;C142,0,(C142-C141)*-1)</f>
        <v>0</v>
      </c>
      <c r="D143" s="38">
        <f t="shared" ref="D143:E143" si="84">IF(D141&gt;D142,0,(D142-D141)*-1)</f>
        <v>0</v>
      </c>
      <c r="E143" s="38">
        <f t="shared" si="84"/>
        <v>0</v>
      </c>
      <c r="F143" s="38">
        <f>IF(F141&gt;F142,0,(F142-F141)*-1)</f>
        <v>0</v>
      </c>
      <c r="G143" s="38">
        <f t="shared" ref="G143" si="85">IF(G141&gt;G142,0,(G142-G141)*-1)</f>
        <v>0</v>
      </c>
      <c r="H143" s="38">
        <f>IF(H141&gt;H142,0,(H142-H141)*-1)</f>
        <v>0</v>
      </c>
      <c r="I143" s="38">
        <f t="shared" ref="I143:N143" si="86">IF(I141&gt;I142,0,(I142-I141)*-1)</f>
        <v>0</v>
      </c>
      <c r="J143" s="38">
        <f t="shared" si="86"/>
        <v>0</v>
      </c>
      <c r="K143" s="38">
        <f t="shared" si="86"/>
        <v>0</v>
      </c>
      <c r="L143" s="38">
        <f t="shared" si="86"/>
        <v>0</v>
      </c>
      <c r="M143" s="38">
        <f t="shared" si="86"/>
        <v>0</v>
      </c>
      <c r="N143" s="38">
        <f t="shared" si="86"/>
        <v>0</v>
      </c>
      <c r="O143" s="38">
        <f>IF(O141&gt;O142,0,(O142-O141)*-1)</f>
        <v>0</v>
      </c>
      <c r="P143" s="38">
        <f>IF(P141&gt;P142,0,(P142-P141)*-1)</f>
        <v>0</v>
      </c>
      <c r="Q143" s="38">
        <f>IF(Q141&gt;Q142,0,(Q142-Q141)*-1)</f>
        <v>0</v>
      </c>
      <c r="R143" s="39">
        <f>IF(R141&gt;R142,0,(R142-R141)*-1)</f>
        <v>0</v>
      </c>
      <c r="S143" s="105"/>
      <c r="T143" s="100" t="str">
        <f>'50% Exceedance Baseline'!T143</f>
        <v>Deficit between target flows and flow gage data plus total adjusted inputs</v>
      </c>
    </row>
    <row r="144" spans="2:21" x14ac:dyDescent="0.25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18"/>
    </row>
    <row r="145" spans="2:21" x14ac:dyDescent="0.25">
      <c r="B145" s="35" t="s">
        <v>2</v>
      </c>
      <c r="C145" s="36">
        <f>'50% Exceedance Baseline'!C145</f>
        <v>30</v>
      </c>
      <c r="D145" s="36">
        <f>'50% Exceedance Baseline'!D145</f>
        <v>30</v>
      </c>
      <c r="E145" s="36">
        <f>'50% Exceedance Baseline'!E145</f>
        <v>20</v>
      </c>
      <c r="F145" s="36">
        <f>'50% Exceedance Baseline'!F145</f>
        <v>20</v>
      </c>
      <c r="G145" s="36">
        <f>'50% Exceedance Baseline'!G145</f>
        <v>1</v>
      </c>
      <c r="H145" s="36">
        <f>'50% Exceedance Baseline'!H145</f>
        <v>1</v>
      </c>
      <c r="I145" s="36">
        <f>'50% Exceedance Baseline'!I145</f>
        <v>1</v>
      </c>
      <c r="J145" s="36">
        <f>'50% Exceedance Baseline'!J145</f>
        <v>1</v>
      </c>
      <c r="K145" s="36">
        <f>'50% Exceedance Baseline'!K145</f>
        <v>1</v>
      </c>
      <c r="L145" s="36">
        <f>'50% Exceedance Baseline'!L145</f>
        <v>1</v>
      </c>
      <c r="M145" s="36">
        <f>'50% Exceedance Baseline'!M145</f>
        <v>1</v>
      </c>
      <c r="N145" s="36">
        <f>'50% Exceedance Baseline'!N145</f>
        <v>1</v>
      </c>
      <c r="O145" s="36">
        <f>'50% Exceedance Baseline'!O145</f>
        <v>1</v>
      </c>
      <c r="P145" s="36">
        <f>'50% Exceedance Baseline'!P145</f>
        <v>1</v>
      </c>
      <c r="Q145" s="36">
        <f>'50% Exceedance Baseline'!Q145</f>
        <v>3</v>
      </c>
      <c r="R145" s="36">
        <f>'50% Exceedance Baseline'!R145</f>
        <v>3</v>
      </c>
      <c r="S145" s="66"/>
      <c r="T145" s="100" t="str">
        <f>'50% Exceedance Baseline'!T145</f>
        <v>Estimate</v>
      </c>
    </row>
    <row r="146" spans="2:21" s="12" customFormat="1" x14ac:dyDescent="0.25">
      <c r="B146" s="62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100"/>
      <c r="U146" s="13"/>
    </row>
    <row r="147" spans="2:21" ht="15.75" thickBot="1" x14ac:dyDescent="0.3">
      <c r="B147" s="4" t="s">
        <v>67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18"/>
    </row>
    <row r="148" spans="2:21" ht="15.75" thickBot="1" x14ac:dyDescent="0.3">
      <c r="B148" s="72" t="s">
        <v>5</v>
      </c>
      <c r="C148" s="46">
        <v>0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121">
        <v>0</v>
      </c>
      <c r="R148" s="46">
        <v>0</v>
      </c>
      <c r="S148" s="105"/>
      <c r="T148" s="100" t="str">
        <f>'50% Exceedance Baseline'!T148</f>
        <v>Flow input between Mgt. Pt. 6 and Mgt. Pt. 7</v>
      </c>
    </row>
    <row r="149" spans="2:21" x14ac:dyDescent="0.25">
      <c r="B149" s="79" t="s">
        <v>7</v>
      </c>
      <c r="C149" s="16">
        <f>IF(C163&gt;C162,((C163-C162)*-1),((C162-C163)))</f>
        <v>880</v>
      </c>
      <c r="D149" s="16">
        <f t="shared" ref="D149:E149" si="87">IF(D163&gt;D162,((D163-D162)*-1),((D162-D163)))</f>
        <v>731.5</v>
      </c>
      <c r="E149" s="16">
        <f t="shared" si="87"/>
        <v>614</v>
      </c>
      <c r="F149" s="16">
        <f>IF(F163&gt;F162,((F163-F162)*-1),((F162-F163)))</f>
        <v>504.02747391907997</v>
      </c>
      <c r="G149" s="16">
        <f>IF(G163&gt;G162,((G163-G162)*-1),((G162-G163)))</f>
        <v>268.54421157932001</v>
      </c>
      <c r="H149" s="16">
        <f t="shared" ref="H149:R149" si="88">IF(H163&gt;H162,((H163-H162)*-1),((H162-H163)))</f>
        <v>100.27939211307998</v>
      </c>
      <c r="I149" s="16">
        <f t="shared" si="88"/>
        <v>37.739571320471043</v>
      </c>
      <c r="J149" s="16">
        <f t="shared" si="88"/>
        <v>11.985549189196803</v>
      </c>
      <c r="K149" s="16">
        <f t="shared" si="88"/>
        <v>34.152167270678163</v>
      </c>
      <c r="L149" s="16">
        <f t="shared" si="88"/>
        <v>32.578562160131526</v>
      </c>
      <c r="M149" s="16">
        <f t="shared" si="88"/>
        <v>0.86956848245705487</v>
      </c>
      <c r="N149" s="16">
        <f t="shared" si="88"/>
        <v>16.605726221001177</v>
      </c>
      <c r="O149" s="16">
        <f t="shared" si="88"/>
        <v>30.215705545049985</v>
      </c>
      <c r="P149" s="16">
        <f t="shared" si="88"/>
        <v>44.024373766851994</v>
      </c>
      <c r="Q149" s="16">
        <f t="shared" si="88"/>
        <v>80.258664825234519</v>
      </c>
      <c r="R149" s="14">
        <f t="shared" si="88"/>
        <v>203.39070921792978</v>
      </c>
      <c r="S149" s="18"/>
      <c r="T149" s="100" t="str">
        <f>'50% Exceedance Baseline'!T149</f>
        <v>Flow target surplus or deficit after input</v>
      </c>
    </row>
    <row r="150" spans="2:21" ht="15.75" thickBot="1" x14ac:dyDescent="0.3">
      <c r="B150" s="80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7"/>
      <c r="S150" s="18"/>
    </row>
    <row r="151" spans="2:21" ht="15.75" thickBot="1" x14ac:dyDescent="0.3">
      <c r="B151" s="73" t="s">
        <v>6</v>
      </c>
      <c r="C151" s="46">
        <v>0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121">
        <v>0</v>
      </c>
      <c r="R151" s="46">
        <v>0</v>
      </c>
      <c r="S151" s="105"/>
      <c r="T151" s="100" t="str">
        <f>'50% Exceedance Baseline'!T151</f>
        <v>Flow input between Mgt. Pt. 6 and Mgt. Pt. 7</v>
      </c>
    </row>
    <row r="152" spans="2:21" x14ac:dyDescent="0.25">
      <c r="B152" s="79" t="s">
        <v>7</v>
      </c>
      <c r="C152" s="16">
        <f>IF(C163&gt;C162,((C163-C162)*-1),((C162-C163)))</f>
        <v>880</v>
      </c>
      <c r="D152" s="16">
        <f t="shared" ref="D152:R152" si="89">IF(D163&gt;D162,((D163-D162)*-1),((D162-D163)))</f>
        <v>731.5</v>
      </c>
      <c r="E152" s="16">
        <f t="shared" si="89"/>
        <v>614</v>
      </c>
      <c r="F152" s="16">
        <f t="shared" si="89"/>
        <v>504.02747391907997</v>
      </c>
      <c r="G152" s="16">
        <f t="shared" si="89"/>
        <v>268.54421157932001</v>
      </c>
      <c r="H152" s="16">
        <f t="shared" si="89"/>
        <v>100.27939211307998</v>
      </c>
      <c r="I152" s="16">
        <f t="shared" si="89"/>
        <v>37.739571320471043</v>
      </c>
      <c r="J152" s="16">
        <f t="shared" si="89"/>
        <v>11.985549189196803</v>
      </c>
      <c r="K152" s="16">
        <f t="shared" si="89"/>
        <v>34.152167270678163</v>
      </c>
      <c r="L152" s="16">
        <f t="shared" si="89"/>
        <v>32.578562160131526</v>
      </c>
      <c r="M152" s="16">
        <f t="shared" si="89"/>
        <v>0.86956848245705487</v>
      </c>
      <c r="N152" s="16">
        <f t="shared" si="89"/>
        <v>16.605726221001177</v>
      </c>
      <c r="O152" s="16">
        <f t="shared" si="89"/>
        <v>30.215705545049985</v>
      </c>
      <c r="P152" s="16">
        <f t="shared" si="89"/>
        <v>44.024373766851994</v>
      </c>
      <c r="Q152" s="16">
        <f t="shared" si="89"/>
        <v>80.258664825234519</v>
      </c>
      <c r="R152" s="14">
        <f t="shared" si="89"/>
        <v>203.39070921792978</v>
      </c>
      <c r="S152" s="18"/>
      <c r="T152" s="100" t="str">
        <f>'50% Exceedance Baseline'!T152</f>
        <v>Flow target surplus or deficit after input</v>
      </c>
    </row>
    <row r="153" spans="2:21" s="4" customFormat="1" ht="15.75" thickBot="1" x14ac:dyDescent="0.3">
      <c r="B153" s="80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7"/>
      <c r="S153" s="18"/>
      <c r="T153" s="100"/>
      <c r="U153" s="155"/>
    </row>
    <row r="154" spans="2:21" ht="15.75" thickBot="1" x14ac:dyDescent="0.3">
      <c r="B154" s="73" t="s">
        <v>60</v>
      </c>
      <c r="C154" s="46">
        <v>0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121">
        <v>0</v>
      </c>
      <c r="R154" s="46">
        <v>0</v>
      </c>
      <c r="S154" s="105"/>
      <c r="T154" s="100" t="str">
        <f>'50% Exceedance Baseline'!T154</f>
        <v>Flow input between Mgt. Pt. 6 and Mgt. Pt. 7</v>
      </c>
    </row>
    <row r="155" spans="2:21" x14ac:dyDescent="0.25">
      <c r="B155" s="79" t="s">
        <v>7</v>
      </c>
      <c r="C155" s="16">
        <f>IF(C163&gt;C162,((C163-C162)*-1),((C162-C163)))</f>
        <v>880</v>
      </c>
      <c r="D155" s="16">
        <f t="shared" ref="D155" si="90">IF(D163&gt;D162,((D163-D162)*-1),((D162-D163)))</f>
        <v>731.5</v>
      </c>
      <c r="E155" s="16">
        <f>IF(E163&gt;E162,((E163-E162)*-1),((E162-E163)))</f>
        <v>614</v>
      </c>
      <c r="F155" s="16">
        <f t="shared" ref="F155:R155" si="91">IF(F163&gt;F162,((F163-F162)*-1),((F162-F163)))</f>
        <v>504.02747391907997</v>
      </c>
      <c r="G155" s="16">
        <f t="shared" si="91"/>
        <v>268.54421157932001</v>
      </c>
      <c r="H155" s="16">
        <f t="shared" si="91"/>
        <v>100.27939211307998</v>
      </c>
      <c r="I155" s="16">
        <f t="shared" si="91"/>
        <v>37.739571320471043</v>
      </c>
      <c r="J155" s="16">
        <f t="shared" si="91"/>
        <v>11.985549189196803</v>
      </c>
      <c r="K155" s="16">
        <f t="shared" si="91"/>
        <v>34.152167270678163</v>
      </c>
      <c r="L155" s="16">
        <f t="shared" si="91"/>
        <v>32.578562160131526</v>
      </c>
      <c r="M155" s="16">
        <f t="shared" si="91"/>
        <v>0.86956848245705487</v>
      </c>
      <c r="N155" s="16">
        <f t="shared" si="91"/>
        <v>16.605726221001177</v>
      </c>
      <c r="O155" s="16">
        <f t="shared" si="91"/>
        <v>30.215705545049985</v>
      </c>
      <c r="P155" s="16">
        <f t="shared" si="91"/>
        <v>44.024373766851994</v>
      </c>
      <c r="Q155" s="16">
        <f t="shared" si="91"/>
        <v>80.258664825234519</v>
      </c>
      <c r="R155" s="14">
        <f t="shared" si="91"/>
        <v>203.39070921792978</v>
      </c>
      <c r="S155" s="18"/>
      <c r="T155" s="100" t="str">
        <f>'50% Exceedance Baseline'!T155</f>
        <v>Flow target surplus or deficit after input</v>
      </c>
    </row>
    <row r="156" spans="2:21" s="4" customFormat="1" x14ac:dyDescent="0.25">
      <c r="B156" s="81" t="s">
        <v>26</v>
      </c>
      <c r="C156" s="18">
        <f t="shared" ref="C156:F156" si="92">SUM(C148+C151+C154)</f>
        <v>0</v>
      </c>
      <c r="D156" s="18">
        <f t="shared" si="92"/>
        <v>0</v>
      </c>
      <c r="E156" s="18">
        <f t="shared" si="92"/>
        <v>0</v>
      </c>
      <c r="F156" s="18">
        <f t="shared" si="92"/>
        <v>0</v>
      </c>
      <c r="G156" s="18">
        <f>SUM(G148+G151+G154)</f>
        <v>0</v>
      </c>
      <c r="H156" s="18">
        <f t="shared" ref="H156:N156" si="93">SUM(H148+H151+H154)</f>
        <v>0</v>
      </c>
      <c r="I156" s="18">
        <f t="shared" si="93"/>
        <v>0</v>
      </c>
      <c r="J156" s="18">
        <f t="shared" si="93"/>
        <v>0</v>
      </c>
      <c r="K156" s="18">
        <f t="shared" si="93"/>
        <v>0</v>
      </c>
      <c r="L156" s="18">
        <f t="shared" si="93"/>
        <v>0</v>
      </c>
      <c r="M156" s="18">
        <f t="shared" si="93"/>
        <v>0</v>
      </c>
      <c r="N156" s="18">
        <f t="shared" si="93"/>
        <v>0</v>
      </c>
      <c r="O156" s="18">
        <f>SUM(O148+O151+O154)</f>
        <v>0</v>
      </c>
      <c r="P156" s="18">
        <f>SUM(P148+P151+P154)</f>
        <v>0</v>
      </c>
      <c r="Q156" s="18">
        <f>SUM(Q148+Q151+Q154)</f>
        <v>0</v>
      </c>
      <c r="R156" s="17">
        <f>SUM(R148+R151+R154)</f>
        <v>0</v>
      </c>
      <c r="S156" s="18"/>
      <c r="T156" s="100" t="str">
        <f>'50% Exceedance Baseline'!T156</f>
        <v>Subtotal of all inputs in McDonald Road to Touchet Confluence reach</v>
      </c>
      <c r="U156" s="155"/>
    </row>
    <row r="157" spans="2:21" s="26" customFormat="1" ht="15.75" thickBot="1" x14ac:dyDescent="0.3">
      <c r="B157" s="80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7"/>
      <c r="S157" s="18"/>
      <c r="T157" s="100"/>
      <c r="U157" s="25"/>
    </row>
    <row r="158" spans="2:21" s="64" customFormat="1" ht="15.75" thickBot="1" x14ac:dyDescent="0.3">
      <c r="B158" s="70" t="s">
        <v>69</v>
      </c>
      <c r="C158" s="82">
        <f>'50% Exceedance Baseline'!C158</f>
        <v>0</v>
      </c>
      <c r="D158" s="82">
        <f>'50% Exceedance Baseline'!D158</f>
        <v>0</v>
      </c>
      <c r="E158" s="82">
        <f>'50% Exceedance Baseline'!E158</f>
        <v>0</v>
      </c>
      <c r="F158" s="82">
        <f>'50% Exceedance Baseline'!F158</f>
        <v>0</v>
      </c>
      <c r="G158" s="82">
        <f>'50% Exceedance Baseline'!G158</f>
        <v>0</v>
      </c>
      <c r="H158" s="82">
        <f>'50% Exceedance Baseline'!H158</f>
        <v>0</v>
      </c>
      <c r="I158" s="82">
        <f>'50% Exceedance Baseline'!I158</f>
        <v>0</v>
      </c>
      <c r="J158" s="82">
        <f>'50% Exceedance Baseline'!J158</f>
        <v>0</v>
      </c>
      <c r="K158" s="82">
        <f>'50% Exceedance Baseline'!K158</f>
        <v>0</v>
      </c>
      <c r="L158" s="82">
        <f>'50% Exceedance Baseline'!L158</f>
        <v>0</v>
      </c>
      <c r="M158" s="82">
        <f>'50% Exceedance Baseline'!M158</f>
        <v>0</v>
      </c>
      <c r="N158" s="82">
        <f>'50% Exceedance Baseline'!N158</f>
        <v>0</v>
      </c>
      <c r="O158" s="82">
        <f>'50% Exceedance Baseline'!O158</f>
        <v>0</v>
      </c>
      <c r="P158" s="82">
        <f>'50% Exceedance Baseline'!P158</f>
        <v>0</v>
      </c>
      <c r="Q158" s="82">
        <f>'50% Exceedance Baseline'!Q158</f>
        <v>0</v>
      </c>
      <c r="R158" s="82">
        <f>'50% Exceedance Baseline'!R158</f>
        <v>0</v>
      </c>
      <c r="S158" s="106"/>
      <c r="T158" s="100" t="str">
        <f>'50% Exceedance Baseline'!T158</f>
        <v>Gaining reach, but limited data available; assumed 0% seepage as conservative estimate</v>
      </c>
      <c r="U158" s="83"/>
    </row>
    <row r="159" spans="2:21" x14ac:dyDescent="0.25">
      <c r="B159" s="84" t="s">
        <v>20</v>
      </c>
      <c r="C159" s="57">
        <f>SUM(C156+C138)*(1+C158)</f>
        <v>0</v>
      </c>
      <c r="D159" s="57">
        <f t="shared" ref="D159:N159" si="94">SUM(D156+D138)*(1+D158)</f>
        <v>0</v>
      </c>
      <c r="E159" s="57">
        <f t="shared" si="94"/>
        <v>0</v>
      </c>
      <c r="F159" s="57">
        <f t="shared" si="94"/>
        <v>91.027473919079981</v>
      </c>
      <c r="G159" s="57">
        <f t="shared" si="94"/>
        <v>142.04421157932001</v>
      </c>
      <c r="H159" s="57">
        <f t="shared" si="94"/>
        <v>93.279392113079979</v>
      </c>
      <c r="I159" s="57">
        <f t="shared" si="94"/>
        <v>53.739571320471043</v>
      </c>
      <c r="J159" s="57">
        <f t="shared" si="94"/>
        <v>54.985549189196803</v>
      </c>
      <c r="K159" s="57">
        <f t="shared" si="94"/>
        <v>84.152167270678163</v>
      </c>
      <c r="L159" s="57">
        <f t="shared" si="94"/>
        <v>83.578562160131526</v>
      </c>
      <c r="M159" s="57">
        <f t="shared" si="94"/>
        <v>42.869568482457048</v>
      </c>
      <c r="N159" s="57">
        <f t="shared" si="94"/>
        <v>41.605726221001177</v>
      </c>
      <c r="O159" s="57">
        <f>SUM(O156+O138)*(1+O158)</f>
        <v>47.215705545049993</v>
      </c>
      <c r="P159" s="122">
        <f>SUM(P156+P138)*(1+P158)</f>
        <v>48.024373766851994</v>
      </c>
      <c r="Q159" s="57">
        <f>SUM(Q156+Q138)*(1+Q158)</f>
        <v>35.258664825234519</v>
      </c>
      <c r="R159" s="68">
        <f>SUM(R156+R138)*(1+R158)</f>
        <v>24.390709217929786</v>
      </c>
      <c r="S159" s="110"/>
      <c r="T159" s="100" t="str">
        <f>'50% Exceedance Baseline'!T159</f>
        <v>Total of all upstream input flow adjusted for streambed loss or gain</v>
      </c>
    </row>
    <row r="160" spans="2:21" ht="15.75" thickBot="1" x14ac:dyDescent="0.3">
      <c r="B160" s="71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3"/>
      <c r="S160" s="110"/>
    </row>
    <row r="161" spans="2:20" ht="15.75" thickBot="1" x14ac:dyDescent="0.3">
      <c r="B161" s="24" t="s">
        <v>58</v>
      </c>
      <c r="C161" s="123">
        <f>'50% Exceedance Baseline'!C161</f>
        <v>1030</v>
      </c>
      <c r="D161" s="123">
        <f>'50% Exceedance Baseline'!D161</f>
        <v>881.5</v>
      </c>
      <c r="E161" s="123">
        <f>'50% Exceedance Baseline'!E161</f>
        <v>764</v>
      </c>
      <c r="F161" s="123">
        <f>'50% Exceedance Baseline'!F161</f>
        <v>563</v>
      </c>
      <c r="G161" s="123">
        <f>'50% Exceedance Baseline'!G161</f>
        <v>276.5</v>
      </c>
      <c r="H161" s="123">
        <f>'50% Exceedance Baseline'!H161</f>
        <v>107</v>
      </c>
      <c r="I161" s="123">
        <f>'50% Exceedance Baseline'!I161</f>
        <v>49</v>
      </c>
      <c r="J161" s="123">
        <f>'50% Exceedance Baseline'!J161</f>
        <v>22</v>
      </c>
      <c r="K161" s="123">
        <f>'50% Exceedance Baseline'!K161</f>
        <v>15</v>
      </c>
      <c r="L161" s="123">
        <f>'50% Exceedance Baseline'!L161</f>
        <v>14</v>
      </c>
      <c r="M161" s="123">
        <f>'50% Exceedance Baseline'!M161</f>
        <v>23</v>
      </c>
      <c r="N161" s="123">
        <f>'50% Exceedance Baseline'!N161</f>
        <v>40</v>
      </c>
      <c r="O161" s="123">
        <f>'50% Exceedance Baseline'!O161</f>
        <v>48</v>
      </c>
      <c r="P161" s="123">
        <f>'50% Exceedance Baseline'!P161</f>
        <v>61</v>
      </c>
      <c r="Q161" s="123">
        <f>'50% Exceedance Baseline'!Q161</f>
        <v>110</v>
      </c>
      <c r="R161" s="123">
        <f>'50% Exceedance Baseline'!R161</f>
        <v>244</v>
      </c>
      <c r="S161" s="27"/>
      <c r="T161" s="100" t="str">
        <f>'50% Exceedance Baseline'!T161</f>
        <v>Median flow data at S-111 gage (1951-2016)</v>
      </c>
    </row>
    <row r="162" spans="2:20" x14ac:dyDescent="0.25">
      <c r="B162" s="47" t="s">
        <v>51</v>
      </c>
      <c r="C162" s="48">
        <f>C161+C159</f>
        <v>1030</v>
      </c>
      <c r="D162" s="48">
        <f t="shared" ref="D162:E162" si="95">D161+D159</f>
        <v>881.5</v>
      </c>
      <c r="E162" s="48">
        <f t="shared" si="95"/>
        <v>764</v>
      </c>
      <c r="F162" s="48">
        <f>F161+F159</f>
        <v>654.02747391907997</v>
      </c>
      <c r="G162" s="48">
        <f t="shared" ref="G162:H162" si="96">G161+G159</f>
        <v>418.54421157932001</v>
      </c>
      <c r="H162" s="48">
        <f t="shared" si="96"/>
        <v>200.27939211307998</v>
      </c>
      <c r="I162" s="48">
        <f>I161+I159</f>
        <v>102.73957132047104</v>
      </c>
      <c r="J162" s="48">
        <f t="shared" ref="J162:N162" si="97">J161+J159</f>
        <v>76.985549189196803</v>
      </c>
      <c r="K162" s="48">
        <f t="shared" si="97"/>
        <v>99.152167270678163</v>
      </c>
      <c r="L162" s="48">
        <f t="shared" si="97"/>
        <v>97.578562160131526</v>
      </c>
      <c r="M162" s="48">
        <f t="shared" si="97"/>
        <v>65.869568482457055</v>
      </c>
      <c r="N162" s="48">
        <f t="shared" si="97"/>
        <v>81.605726221001177</v>
      </c>
      <c r="O162" s="48">
        <f>O161+O159</f>
        <v>95.215705545049985</v>
      </c>
      <c r="P162" s="48">
        <f>P161+P159</f>
        <v>109.02437376685199</v>
      </c>
      <c r="Q162" s="48">
        <f>Q161+Q159</f>
        <v>145.25866482523452</v>
      </c>
      <c r="R162" s="49">
        <f>R161+R159</f>
        <v>268.39070921792978</v>
      </c>
      <c r="S162" s="111"/>
      <c r="T162" s="100" t="str">
        <f>'50% Exceedance Baseline'!T162</f>
        <v>Flow gage data plus cumulative inputs adjusted for streambed loss or gain</v>
      </c>
    </row>
    <row r="163" spans="2:20" x14ac:dyDescent="0.25">
      <c r="B163" s="10" t="s">
        <v>8</v>
      </c>
      <c r="C163" s="8">
        <f>$C$16</f>
        <v>150</v>
      </c>
      <c r="D163" s="8">
        <f>$D$16</f>
        <v>150</v>
      </c>
      <c r="E163" s="8">
        <f>$E$16</f>
        <v>150</v>
      </c>
      <c r="F163" s="8">
        <f>$F$16</f>
        <v>150</v>
      </c>
      <c r="G163" s="8">
        <f>$G$16</f>
        <v>150</v>
      </c>
      <c r="H163" s="8">
        <f>$H$16</f>
        <v>100</v>
      </c>
      <c r="I163" s="8">
        <f>$I$16</f>
        <v>65</v>
      </c>
      <c r="J163" s="8">
        <f>$J$16</f>
        <v>65</v>
      </c>
      <c r="K163" s="8">
        <f>$K$16</f>
        <v>65</v>
      </c>
      <c r="L163" s="8">
        <f>$L$16</f>
        <v>65</v>
      </c>
      <c r="M163" s="8">
        <f>$M$16</f>
        <v>65</v>
      </c>
      <c r="N163" s="8">
        <f>$N$16</f>
        <v>65</v>
      </c>
      <c r="O163" s="8">
        <f>$O$16</f>
        <v>65</v>
      </c>
      <c r="P163" s="8">
        <f>$P$16</f>
        <v>65</v>
      </c>
      <c r="Q163" s="8">
        <f>$Q$16</f>
        <v>65</v>
      </c>
      <c r="R163" s="9">
        <f>$R$16</f>
        <v>65</v>
      </c>
      <c r="S163" s="112"/>
      <c r="T163" s="100" t="str">
        <f>'50% Exceedance Baseline'!T163</f>
        <v>Target flows</v>
      </c>
    </row>
    <row r="164" spans="2:20" ht="15.75" thickBot="1" x14ac:dyDescent="0.3">
      <c r="B164" s="37" t="s">
        <v>16</v>
      </c>
      <c r="C164" s="38">
        <f>IF(C162&gt;C163,0,(C163-C162)*-1)</f>
        <v>0</v>
      </c>
      <c r="D164" s="38">
        <f t="shared" ref="D164:E164" si="98">IF(D162&gt;D163,0,(D163-D162)*-1)</f>
        <v>0</v>
      </c>
      <c r="E164" s="38">
        <f t="shared" si="98"/>
        <v>0</v>
      </c>
      <c r="F164" s="38">
        <f>IF(F162&gt;F163,0,(F163-F162)*-1)</f>
        <v>0</v>
      </c>
      <c r="G164" s="38">
        <f t="shared" ref="G164" si="99">IF(G162&gt;G163,0,(G163-G162)*-1)</f>
        <v>0</v>
      </c>
      <c r="H164" s="38">
        <f>IF(H162&gt;H163,0,(H163-H162)*-1)</f>
        <v>0</v>
      </c>
      <c r="I164" s="38">
        <f t="shared" ref="I164:N164" si="100">IF(I162&gt;I163,0,(I163-I162)*-1)</f>
        <v>0</v>
      </c>
      <c r="J164" s="38">
        <f t="shared" si="100"/>
        <v>0</v>
      </c>
      <c r="K164" s="38">
        <f>IF(K162&gt;K163,0,(K163-K162)*-1)</f>
        <v>0</v>
      </c>
      <c r="L164" s="38">
        <f>IF(L162&gt;L163,0,(L163-L162)*-1)</f>
        <v>0</v>
      </c>
      <c r="M164" s="38">
        <f t="shared" si="100"/>
        <v>0</v>
      </c>
      <c r="N164" s="38">
        <f t="shared" si="100"/>
        <v>0</v>
      </c>
      <c r="O164" s="38">
        <f>IF(O162&gt;O163,0,(O163-O162)*-1)</f>
        <v>0</v>
      </c>
      <c r="P164" s="38">
        <f>IF(P162&gt;P163,0,(P163-P162)*-1)</f>
        <v>0</v>
      </c>
      <c r="Q164" s="38">
        <f>IF(Q162&gt;Q163,0,(Q163-Q162)*-1)</f>
        <v>0</v>
      </c>
      <c r="R164" s="39">
        <f>IF(R162&gt;R163,0,(R163-R162)*-1)</f>
        <v>0</v>
      </c>
      <c r="S164" s="105"/>
      <c r="T164" s="100" t="str">
        <f>'50% Exceedance Baseline'!T164</f>
        <v>Deficit between target flows and flow gage data plus total adjusted inputs</v>
      </c>
    </row>
    <row r="165" spans="2:20" x14ac:dyDescent="0.25">
      <c r="B165" s="40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105"/>
    </row>
    <row r="166" spans="2:20" ht="15.75" thickBot="1" x14ac:dyDescent="0.3">
      <c r="B166" s="67" t="s">
        <v>62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18"/>
    </row>
    <row r="167" spans="2:20" ht="15.75" thickBot="1" x14ac:dyDescent="0.3">
      <c r="B167" s="94" t="s">
        <v>5</v>
      </c>
      <c r="C167" s="46">
        <v>0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121">
        <v>0</v>
      </c>
      <c r="R167" s="46">
        <v>0</v>
      </c>
      <c r="S167" s="105"/>
      <c r="T167" s="100" t="str">
        <f>'50% Exceedance Baseline'!T167</f>
        <v>Flow input between Mgt. Pt. 7 and Mgt. Pt. 8</v>
      </c>
    </row>
    <row r="168" spans="2:20" x14ac:dyDescent="0.25">
      <c r="B168" s="95" t="s">
        <v>7</v>
      </c>
      <c r="C168" s="16">
        <f>IF(C182&gt;C181,((C182-C181)*-1),((C181-C182)))</f>
        <v>667.29318639999997</v>
      </c>
      <c r="D168" s="16">
        <f t="shared" ref="D168:E168" si="101">IF(D182&gt;D181,((D182-D181)*-1),((D181-D182)))</f>
        <v>303.71796180000001</v>
      </c>
      <c r="E168" s="16">
        <f t="shared" si="101"/>
        <v>161.46826600000003</v>
      </c>
      <c r="F168" s="16">
        <f>IF(F182&gt;F181,((F182-F181)*-1),((F181-F182)))</f>
        <v>99.32286803512514</v>
      </c>
      <c r="G168" s="16">
        <f>IF(G182&gt;G181,((G182-G181)*-1),((G181-G182)))</f>
        <v>27.006106787131642</v>
      </c>
      <c r="H168" s="16">
        <f t="shared" ref="H168:R168" si="102">IF(H182&gt;H181,((H182-H181)*-1),((H181-H182)))</f>
        <v>47.113062741863132</v>
      </c>
      <c r="I168" s="16">
        <f t="shared" si="102"/>
        <v>32.745501702029543</v>
      </c>
      <c r="J168" s="16">
        <f t="shared" si="102"/>
        <v>2.2003624394657493</v>
      </c>
      <c r="K168" s="16">
        <f t="shared" si="102"/>
        <v>0.22404279779792091</v>
      </c>
      <c r="L168" s="16">
        <f t="shared" si="102"/>
        <v>0.34700238304299091</v>
      </c>
      <c r="M168" s="16">
        <f t="shared" si="102"/>
        <v>24.978113491317018</v>
      </c>
      <c r="N168" s="16">
        <f t="shared" si="102"/>
        <v>23.340784908351594</v>
      </c>
      <c r="O168" s="16">
        <f t="shared" si="102"/>
        <v>26.552180889465987</v>
      </c>
      <c r="P168" s="16">
        <f t="shared" si="102"/>
        <v>49.718782912244635</v>
      </c>
      <c r="Q168" s="16">
        <f t="shared" si="102"/>
        <v>77.249748929309561</v>
      </c>
      <c r="R168" s="14">
        <f t="shared" si="102"/>
        <v>138.61195666766733</v>
      </c>
      <c r="S168" s="18"/>
      <c r="T168" s="100" t="str">
        <f>'50% Exceedance Baseline'!T168</f>
        <v>Flow target surplus or deficit after input</v>
      </c>
    </row>
    <row r="169" spans="2:20" ht="15.75" thickBot="1" x14ac:dyDescent="0.3">
      <c r="B169" s="96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7"/>
      <c r="S169" s="18"/>
    </row>
    <row r="170" spans="2:20" ht="15.75" thickBot="1" x14ac:dyDescent="0.3">
      <c r="B170" s="97" t="s">
        <v>6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121">
        <v>0</v>
      </c>
      <c r="R170" s="46">
        <v>0</v>
      </c>
      <c r="S170" s="105"/>
      <c r="T170" s="100" t="str">
        <f>'50% Exceedance Baseline'!T170</f>
        <v>Flow input between Mgt. Pt. 7 and Mgt. Pt. 8</v>
      </c>
    </row>
    <row r="171" spans="2:20" x14ac:dyDescent="0.25">
      <c r="B171" s="95" t="s">
        <v>7</v>
      </c>
      <c r="C171" s="16">
        <f>IF(C182&gt;C181,((C182-C181)*-1),((C181-C182)))</f>
        <v>667.29318639999997</v>
      </c>
      <c r="D171" s="16">
        <f t="shared" ref="D171:R171" si="103">IF(D182&gt;D181,((D182-D181)*-1),((D181-D182)))</f>
        <v>303.71796180000001</v>
      </c>
      <c r="E171" s="16">
        <f t="shared" si="103"/>
        <v>161.46826600000003</v>
      </c>
      <c r="F171" s="16">
        <f t="shared" si="103"/>
        <v>99.32286803512514</v>
      </c>
      <c r="G171" s="16">
        <f t="shared" si="103"/>
        <v>27.006106787131642</v>
      </c>
      <c r="H171" s="16">
        <f t="shared" si="103"/>
        <v>47.113062741863132</v>
      </c>
      <c r="I171" s="16">
        <f t="shared" si="103"/>
        <v>32.745501702029543</v>
      </c>
      <c r="J171" s="16">
        <f t="shared" si="103"/>
        <v>2.2003624394657493</v>
      </c>
      <c r="K171" s="16">
        <f t="shared" si="103"/>
        <v>0.22404279779792091</v>
      </c>
      <c r="L171" s="16">
        <f t="shared" si="103"/>
        <v>0.34700238304299091</v>
      </c>
      <c r="M171" s="16">
        <f t="shared" si="103"/>
        <v>24.978113491317018</v>
      </c>
      <c r="N171" s="16">
        <f t="shared" si="103"/>
        <v>23.340784908351594</v>
      </c>
      <c r="O171" s="16">
        <f t="shared" si="103"/>
        <v>26.552180889465987</v>
      </c>
      <c r="P171" s="16">
        <f t="shared" si="103"/>
        <v>49.718782912244635</v>
      </c>
      <c r="Q171" s="16">
        <f t="shared" si="103"/>
        <v>77.249748929309561</v>
      </c>
      <c r="R171" s="14">
        <f t="shared" si="103"/>
        <v>138.61195666766733</v>
      </c>
      <c r="S171" s="18"/>
      <c r="T171" s="100" t="str">
        <f>'50% Exceedance Baseline'!T171</f>
        <v>Flow target surplus or deficit after input</v>
      </c>
    </row>
    <row r="172" spans="2:20" ht="15.75" thickBot="1" x14ac:dyDescent="0.3">
      <c r="B172" s="96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7"/>
      <c r="S172" s="18"/>
    </row>
    <row r="173" spans="2:20" ht="15.75" thickBot="1" x14ac:dyDescent="0.3">
      <c r="B173" s="73" t="s">
        <v>60</v>
      </c>
      <c r="C173" s="46">
        <v>0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121">
        <v>0</v>
      </c>
      <c r="R173" s="46">
        <v>0</v>
      </c>
      <c r="S173" s="105"/>
      <c r="T173" s="100" t="str">
        <f>'50% Exceedance Baseline'!T173</f>
        <v>Flow input between Mgt. Pt. 7 and Mgt. Pt. 8</v>
      </c>
    </row>
    <row r="174" spans="2:20" x14ac:dyDescent="0.25">
      <c r="B174" s="95" t="s">
        <v>7</v>
      </c>
      <c r="C174" s="16">
        <f>IF(C182&gt;C181,((C182-C181)*-1),((C181-C182)))</f>
        <v>667.29318639999997</v>
      </c>
      <c r="D174" s="16">
        <f t="shared" ref="D174" si="104">IF(D182&gt;D181,((D182-D181)*-1),((D181-D182)))</f>
        <v>303.71796180000001</v>
      </c>
      <c r="E174" s="16">
        <f>IF(E182&gt;E181,((E182-E181)*-1),((E181-E182)))</f>
        <v>161.46826600000003</v>
      </c>
      <c r="F174" s="16">
        <f t="shared" ref="F174:R174" si="105">IF(F182&gt;F181,((F182-F181)*-1),((F181-F182)))</f>
        <v>99.32286803512514</v>
      </c>
      <c r="G174" s="16">
        <f t="shared" si="105"/>
        <v>27.006106787131642</v>
      </c>
      <c r="H174" s="16">
        <f t="shared" si="105"/>
        <v>47.113062741863132</v>
      </c>
      <c r="I174" s="16">
        <f t="shared" si="105"/>
        <v>32.745501702029543</v>
      </c>
      <c r="J174" s="16">
        <f t="shared" si="105"/>
        <v>2.2003624394657493</v>
      </c>
      <c r="K174" s="16">
        <f t="shared" si="105"/>
        <v>0.22404279779792091</v>
      </c>
      <c r="L174" s="16">
        <f t="shared" si="105"/>
        <v>0.34700238304299091</v>
      </c>
      <c r="M174" s="16">
        <f t="shared" si="105"/>
        <v>24.978113491317018</v>
      </c>
      <c r="N174" s="16">
        <f t="shared" si="105"/>
        <v>23.340784908351594</v>
      </c>
      <c r="O174" s="16">
        <f t="shared" si="105"/>
        <v>26.552180889465987</v>
      </c>
      <c r="P174" s="16">
        <f t="shared" si="105"/>
        <v>49.718782912244635</v>
      </c>
      <c r="Q174" s="16">
        <f t="shared" si="105"/>
        <v>77.249748929309561</v>
      </c>
      <c r="R174" s="14">
        <f t="shared" si="105"/>
        <v>138.61195666766733</v>
      </c>
      <c r="S174" s="18"/>
      <c r="T174" s="100" t="str">
        <f>'50% Exceedance Baseline'!T174</f>
        <v>Flow target surplus or deficit after input</v>
      </c>
    </row>
    <row r="175" spans="2:20" x14ac:dyDescent="0.25">
      <c r="B175" s="98" t="s">
        <v>27</v>
      </c>
      <c r="C175" s="18">
        <f t="shared" ref="C175:F175" si="106">SUM(C167+C170+C173)</f>
        <v>0</v>
      </c>
      <c r="D175" s="18">
        <f t="shared" si="106"/>
        <v>0</v>
      </c>
      <c r="E175" s="18">
        <f t="shared" si="106"/>
        <v>0</v>
      </c>
      <c r="F175" s="18">
        <f t="shared" si="106"/>
        <v>0</v>
      </c>
      <c r="G175" s="18">
        <f>SUM(G167+G170+G173)</f>
        <v>0</v>
      </c>
      <c r="H175" s="18">
        <f t="shared" ref="H175:N175" si="107">SUM(H167+H170+H173)</f>
        <v>0</v>
      </c>
      <c r="I175" s="18">
        <f t="shared" si="107"/>
        <v>0</v>
      </c>
      <c r="J175" s="18">
        <f t="shared" si="107"/>
        <v>0</v>
      </c>
      <c r="K175" s="18">
        <f t="shared" si="107"/>
        <v>0</v>
      </c>
      <c r="L175" s="18">
        <f t="shared" si="107"/>
        <v>0</v>
      </c>
      <c r="M175" s="18">
        <f t="shared" si="107"/>
        <v>0</v>
      </c>
      <c r="N175" s="18">
        <f t="shared" si="107"/>
        <v>0</v>
      </c>
      <c r="O175" s="18">
        <f>SUM(O167+O170+O173)</f>
        <v>0</v>
      </c>
      <c r="P175" s="18">
        <f>SUM(P167+P170+P173)</f>
        <v>0</v>
      </c>
      <c r="Q175" s="18">
        <f>SUM(Q167+Q170+Q173)</f>
        <v>0</v>
      </c>
      <c r="R175" s="17">
        <f>SUM(R167+R170+R173)</f>
        <v>0</v>
      </c>
      <c r="S175" s="18"/>
      <c r="T175" s="100" t="str">
        <f>'50% Exceedance Baseline'!T175</f>
        <v>Subtotal of all inputs in Touchet Confluence to Pierce RV reach</v>
      </c>
    </row>
    <row r="176" spans="2:20" ht="15.75" thickBot="1" x14ac:dyDescent="0.3">
      <c r="B176" s="96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3"/>
      <c r="S176" s="118"/>
    </row>
    <row r="177" spans="2:21" s="64" customFormat="1" ht="15.75" thickBot="1" x14ac:dyDescent="0.3">
      <c r="B177" s="70" t="s">
        <v>69</v>
      </c>
      <c r="C177" s="69">
        <f>'50% Exceedance Baseline'!C177</f>
        <v>-0.223</v>
      </c>
      <c r="D177" s="69">
        <f>'50% Exceedance Baseline'!D177</f>
        <v>-0.223</v>
      </c>
      <c r="E177" s="69">
        <f>'50% Exceedance Baseline'!E177</f>
        <v>-0.223</v>
      </c>
      <c r="F177" s="69">
        <f>'50% Exceedance Baseline'!F177</f>
        <v>-0.223</v>
      </c>
      <c r="G177" s="69">
        <f>'50% Exceedance Baseline'!G177</f>
        <v>-0.223</v>
      </c>
      <c r="H177" s="69">
        <f>'50% Exceedance Baseline'!H177</f>
        <v>-0.223</v>
      </c>
      <c r="I177" s="69">
        <f>'50% Exceedance Baseline'!I177</f>
        <v>-0.17299999999999999</v>
      </c>
      <c r="J177" s="69">
        <f>'50% Exceedance Baseline'!J177</f>
        <v>-0.17299999999999999</v>
      </c>
      <c r="K177" s="69">
        <f>'50% Exceedance Baseline'!K177</f>
        <v>-0.36899999999999999</v>
      </c>
      <c r="L177" s="69">
        <f>'50% Exceedance Baseline'!L177</f>
        <v>-0.36899999999999999</v>
      </c>
      <c r="M177" s="82">
        <f>'50% Exceedance Baseline'!M177</f>
        <v>0.35</v>
      </c>
      <c r="N177" s="82">
        <f>'50% Exceedance Baseline'!N177</f>
        <v>0.35</v>
      </c>
      <c r="O177" s="82">
        <f>'50% Exceedance Baseline'!O177</f>
        <v>0.32</v>
      </c>
      <c r="P177" s="82">
        <f>'50% Exceedance Baseline'!P177</f>
        <v>0.32</v>
      </c>
      <c r="Q177" s="82">
        <f>'50% Exceedance Baseline'!Q177</f>
        <v>0.32</v>
      </c>
      <c r="R177" s="82">
        <f>'50% Exceedance Baseline'!R177</f>
        <v>0.32</v>
      </c>
      <c r="S177" s="107"/>
      <c r="T177" s="100" t="str">
        <f>'50% Exceedance Baseline'!T177</f>
        <v>Percentage total inputs lost or gained due to streambed hydrology (2002-2015 WWBWC seepage data)</v>
      </c>
      <c r="U177" s="83"/>
    </row>
    <row r="178" spans="2:21" x14ac:dyDescent="0.25">
      <c r="B178" s="84" t="s">
        <v>20</v>
      </c>
      <c r="C178" s="57">
        <f>SUM(C175+C159)*(1+C177)</f>
        <v>0</v>
      </c>
      <c r="D178" s="57">
        <f t="shared" ref="D178:N178" si="108">SUM(D175+D159)*(1+D177)</f>
        <v>0</v>
      </c>
      <c r="E178" s="57">
        <f t="shared" si="108"/>
        <v>0</v>
      </c>
      <c r="F178" s="57">
        <f t="shared" si="108"/>
        <v>70.728347235125142</v>
      </c>
      <c r="G178" s="57">
        <f t="shared" si="108"/>
        <v>110.36835239713164</v>
      </c>
      <c r="H178" s="57">
        <f t="shared" si="108"/>
        <v>72.47808767186315</v>
      </c>
      <c r="I178" s="57">
        <f t="shared" si="108"/>
        <v>44.442625482029548</v>
      </c>
      <c r="J178" s="57">
        <f t="shared" si="108"/>
        <v>45.473049179465754</v>
      </c>
      <c r="K178" s="57">
        <f t="shared" si="108"/>
        <v>53.100017547797918</v>
      </c>
      <c r="L178" s="57">
        <f t="shared" si="108"/>
        <v>52.73807272304299</v>
      </c>
      <c r="M178" s="57">
        <f t="shared" si="108"/>
        <v>57.87391745131702</v>
      </c>
      <c r="N178" s="57">
        <f t="shared" si="108"/>
        <v>56.167730398351594</v>
      </c>
      <c r="O178" s="57">
        <f>SUM(O175+O159)*(1+O177)</f>
        <v>62.32473131946599</v>
      </c>
      <c r="P178" s="57">
        <f>SUM(P175+P159)*(1+P177)</f>
        <v>63.392173372244635</v>
      </c>
      <c r="Q178" s="57">
        <f>SUM(Q175+Q159)*(1+Q177)</f>
        <v>46.541437569309565</v>
      </c>
      <c r="R178" s="58">
        <f>SUM(R175+R159)*(1+R177)</f>
        <v>32.19573616766732</v>
      </c>
      <c r="S178" s="110"/>
      <c r="T178" s="100" t="str">
        <f>'50% Exceedance Baseline'!T178</f>
        <v>Total of all upstream input flow adjusted for streambed loss or gain</v>
      </c>
    </row>
    <row r="179" spans="2:21" ht="15.75" thickBot="1" x14ac:dyDescent="0.3">
      <c r="B179" s="71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3"/>
      <c r="S179" s="110"/>
    </row>
    <row r="180" spans="2:21" ht="15.75" thickBot="1" x14ac:dyDescent="0.3">
      <c r="B180" s="24" t="s">
        <v>59</v>
      </c>
      <c r="C180" s="123">
        <f>'50% Exceedance Baseline'!C180</f>
        <v>817.29318639999997</v>
      </c>
      <c r="D180" s="123">
        <f>'50% Exceedance Baseline'!D180</f>
        <v>453.71796180000001</v>
      </c>
      <c r="E180" s="123">
        <f>'50% Exceedance Baseline'!E180</f>
        <v>311.46826600000003</v>
      </c>
      <c r="F180" s="123">
        <f>'50% Exceedance Baseline'!F180</f>
        <v>178.5945208</v>
      </c>
      <c r="G180" s="123">
        <f>'50% Exceedance Baseline'!G180</f>
        <v>66.637754389999998</v>
      </c>
      <c r="H180" s="123">
        <f>'50% Exceedance Baseline'!H180</f>
        <v>74.634975069999996</v>
      </c>
      <c r="I180" s="123">
        <f>'50% Exceedance Baseline'!I180</f>
        <v>53.302876220000002</v>
      </c>
      <c r="J180" s="123">
        <f>'50% Exceedance Baseline'!J180</f>
        <v>21.727313259999999</v>
      </c>
      <c r="K180" s="123">
        <f>'50% Exceedance Baseline'!K180</f>
        <v>12.124025250000001</v>
      </c>
      <c r="L180" s="123">
        <f>'50% Exceedance Baseline'!L180</f>
        <v>12.608929659999999</v>
      </c>
      <c r="M180" s="123">
        <f>'50% Exceedance Baseline'!M180</f>
        <v>32.104196039999998</v>
      </c>
      <c r="N180" s="123">
        <f>'50% Exceedance Baseline'!N180</f>
        <v>32.17305451</v>
      </c>
      <c r="O180" s="123">
        <f>'50% Exceedance Baseline'!O180</f>
        <v>29.227449570000001</v>
      </c>
      <c r="P180" s="123">
        <f>'50% Exceedance Baseline'!P180</f>
        <v>51.32660954</v>
      </c>
      <c r="Q180" s="123">
        <f>'50% Exceedance Baseline'!Q180</f>
        <v>95.708311359999996</v>
      </c>
      <c r="R180" s="123">
        <f>'50% Exceedance Baseline'!R180</f>
        <v>171.41622050000001</v>
      </c>
      <c r="S180" s="27"/>
      <c r="T180" s="100" t="str">
        <f>'50% Exceedance Baseline'!T180</f>
        <v>Median flow data at S-125 gage (2013-2016)</v>
      </c>
    </row>
    <row r="181" spans="2:21" x14ac:dyDescent="0.25">
      <c r="B181" s="47" t="s">
        <v>42</v>
      </c>
      <c r="C181" s="48">
        <f>C180+C178</f>
        <v>817.29318639999997</v>
      </c>
      <c r="D181" s="48">
        <f t="shared" ref="D181:E181" si="109">D180+D178</f>
        <v>453.71796180000001</v>
      </c>
      <c r="E181" s="48">
        <f t="shared" si="109"/>
        <v>311.46826600000003</v>
      </c>
      <c r="F181" s="48">
        <f>F180+F178</f>
        <v>249.32286803512514</v>
      </c>
      <c r="G181" s="48">
        <f t="shared" ref="G181:H181" si="110">G180+G178</f>
        <v>177.00610678713164</v>
      </c>
      <c r="H181" s="48">
        <f t="shared" si="110"/>
        <v>147.11306274186313</v>
      </c>
      <c r="I181" s="48">
        <f>I180+I178</f>
        <v>97.745501702029543</v>
      </c>
      <c r="J181" s="48">
        <f t="shared" ref="J181:N181" si="111">J180+J178</f>
        <v>67.200362439465749</v>
      </c>
      <c r="K181" s="48">
        <f t="shared" si="111"/>
        <v>65.224042797797921</v>
      </c>
      <c r="L181" s="48">
        <f t="shared" si="111"/>
        <v>65.347002383042991</v>
      </c>
      <c r="M181" s="48">
        <f t="shared" si="111"/>
        <v>89.978113491317018</v>
      </c>
      <c r="N181" s="48">
        <f t="shared" si="111"/>
        <v>88.340784908351594</v>
      </c>
      <c r="O181" s="48">
        <f>O180+O178</f>
        <v>91.552180889465987</v>
      </c>
      <c r="P181" s="48">
        <f>P180+P178</f>
        <v>114.71878291224463</v>
      </c>
      <c r="Q181" s="48">
        <f>Q180+Q178</f>
        <v>142.24974892930956</v>
      </c>
      <c r="R181" s="49">
        <f>R180+R178</f>
        <v>203.61195666766733</v>
      </c>
      <c r="S181" s="111"/>
      <c r="T181" s="100" t="str">
        <f>'50% Exceedance Baseline'!T181</f>
        <v>Flow gage data plus cumulative inputs adjusted for streambed loss or gain</v>
      </c>
    </row>
    <row r="182" spans="2:21" x14ac:dyDescent="0.25">
      <c r="B182" s="10" t="s">
        <v>8</v>
      </c>
      <c r="C182" s="8">
        <f>$C$16</f>
        <v>150</v>
      </c>
      <c r="D182" s="8">
        <f>$D$16</f>
        <v>150</v>
      </c>
      <c r="E182" s="8">
        <f>$E$16</f>
        <v>150</v>
      </c>
      <c r="F182" s="8">
        <f>$F$16</f>
        <v>150</v>
      </c>
      <c r="G182" s="8">
        <f>$G$16</f>
        <v>150</v>
      </c>
      <c r="H182" s="8">
        <f>$H$16</f>
        <v>100</v>
      </c>
      <c r="I182" s="8">
        <f>$I$16</f>
        <v>65</v>
      </c>
      <c r="J182" s="8">
        <f>$J$16</f>
        <v>65</v>
      </c>
      <c r="K182" s="8">
        <f>$K$16</f>
        <v>65</v>
      </c>
      <c r="L182" s="8">
        <f>$L$16</f>
        <v>65</v>
      </c>
      <c r="M182" s="8">
        <f>$M$16</f>
        <v>65</v>
      </c>
      <c r="N182" s="8">
        <f>$N$16</f>
        <v>65</v>
      </c>
      <c r="O182" s="8">
        <f>$O$16</f>
        <v>65</v>
      </c>
      <c r="P182" s="8">
        <f>$P$16</f>
        <v>65</v>
      </c>
      <c r="Q182" s="8">
        <f>$Q$16</f>
        <v>65</v>
      </c>
      <c r="R182" s="9">
        <f>$R$16</f>
        <v>65</v>
      </c>
      <c r="S182" s="112"/>
      <c r="T182" s="100" t="str">
        <f>'50% Exceedance Baseline'!T182</f>
        <v>Target flows</v>
      </c>
    </row>
    <row r="183" spans="2:21" ht="15.75" thickBot="1" x14ac:dyDescent="0.3">
      <c r="B183" s="37" t="s">
        <v>17</v>
      </c>
      <c r="C183" s="38">
        <f>IF(C181&gt;C182,0,(C182-C181)*-1)</f>
        <v>0</v>
      </c>
      <c r="D183" s="38">
        <f t="shared" ref="D183:E183" si="112">IF(D181&gt;D182,0,(D182-D181)*-1)</f>
        <v>0</v>
      </c>
      <c r="E183" s="38">
        <f t="shared" si="112"/>
        <v>0</v>
      </c>
      <c r="F183" s="38">
        <f>IF(F181&gt;F182,0,(F182-F181)*-1)</f>
        <v>0</v>
      </c>
      <c r="G183" s="38">
        <f>IF(G181&gt;G182,0,(G182-G181)*-1)</f>
        <v>0</v>
      </c>
      <c r="H183" s="38">
        <f>IF(H181&gt;H182,0,(H182-H181)*-1)</f>
        <v>0</v>
      </c>
      <c r="I183" s="38">
        <f t="shared" ref="I183:N183" si="113">IF(I181&gt;I182,0,(I182-I181)*-1)</f>
        <v>0</v>
      </c>
      <c r="J183" s="38">
        <f>IF(J181&gt;J182,0,(J182-J181)*-1)</f>
        <v>0</v>
      </c>
      <c r="K183" s="38">
        <f t="shared" si="113"/>
        <v>0</v>
      </c>
      <c r="L183" s="38">
        <f t="shared" si="113"/>
        <v>0</v>
      </c>
      <c r="M183" s="38">
        <f t="shared" si="113"/>
        <v>0</v>
      </c>
      <c r="N183" s="38">
        <f t="shared" si="113"/>
        <v>0</v>
      </c>
      <c r="O183" s="38">
        <f>IF(O181&gt;O182,0,(O182-O181)*-1)</f>
        <v>0</v>
      </c>
      <c r="P183" s="38">
        <f>IF(P181&gt;P182,0,(P182-P181)*-1)</f>
        <v>0</v>
      </c>
      <c r="Q183" s="38">
        <f>IF(Q181&gt;Q182,0,(Q182-Q181)*-1)</f>
        <v>0</v>
      </c>
      <c r="R183" s="39">
        <f>IF(R181&gt;R182,0,(R182-R181)*-1)</f>
        <v>0</v>
      </c>
      <c r="S183" s="105"/>
      <c r="T183" s="100" t="str">
        <f>'50% Exceedance Baseline'!T183</f>
        <v>Deficit between target flows and flow gage data plus total adjusted inputs</v>
      </c>
    </row>
    <row r="184" spans="2:21" x14ac:dyDescent="0.2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115"/>
    </row>
    <row r="185" spans="2:21" x14ac:dyDescent="0.25">
      <c r="B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2"/>
      <c r="U185" s="1"/>
    </row>
    <row r="186" spans="2:21" x14ac:dyDescent="0.25">
      <c r="B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2"/>
      <c r="U186" s="1"/>
    </row>
    <row r="187" spans="2:21" x14ac:dyDescent="0.25">
      <c r="B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2"/>
      <c r="U187" s="1"/>
    </row>
    <row r="188" spans="2:21" x14ac:dyDescent="0.25">
      <c r="B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2"/>
      <c r="U188" s="1"/>
    </row>
    <row r="189" spans="2:21" x14ac:dyDescent="0.25">
      <c r="B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2"/>
      <c r="U189" s="1"/>
    </row>
    <row r="190" spans="2:21" x14ac:dyDescent="0.25">
      <c r="B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2"/>
      <c r="U190" s="1"/>
    </row>
    <row r="191" spans="2:21" x14ac:dyDescent="0.25">
      <c r="B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2"/>
      <c r="U191" s="1"/>
    </row>
    <row r="192" spans="2:21" x14ac:dyDescent="0.25">
      <c r="B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2"/>
      <c r="U192" s="1"/>
    </row>
    <row r="193" spans="2:21" x14ac:dyDescent="0.25">
      <c r="B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2"/>
      <c r="U193" s="1"/>
    </row>
    <row r="194" spans="2:21" x14ac:dyDescent="0.25">
      <c r="B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2"/>
      <c r="U194" s="1"/>
    </row>
    <row r="195" spans="2:21" x14ac:dyDescent="0.25">
      <c r="B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2"/>
      <c r="U195" s="1"/>
    </row>
    <row r="196" spans="2:21" x14ac:dyDescent="0.25">
      <c r="B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2"/>
      <c r="U196" s="1"/>
    </row>
    <row r="197" spans="2:21" x14ac:dyDescent="0.25">
      <c r="B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2"/>
      <c r="U197" s="1"/>
    </row>
    <row r="198" spans="2:21" x14ac:dyDescent="0.25">
      <c r="B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2"/>
      <c r="U198" s="1"/>
    </row>
    <row r="199" spans="2:21" x14ac:dyDescent="0.25">
      <c r="B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2"/>
      <c r="U199" s="1"/>
    </row>
    <row r="200" spans="2:21" x14ac:dyDescent="0.25">
      <c r="B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2"/>
      <c r="U200" s="1"/>
    </row>
    <row r="201" spans="2:21" x14ac:dyDescent="0.25">
      <c r="B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2"/>
      <c r="U201" s="1"/>
    </row>
    <row r="202" spans="2:21" x14ac:dyDescent="0.25">
      <c r="B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2"/>
      <c r="U202" s="1"/>
    </row>
  </sheetData>
  <mergeCells count="8">
    <mergeCell ref="O6:P6"/>
    <mergeCell ref="Q6:R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7"/>
  <sheetViews>
    <sheetView workbookViewId="0">
      <selection activeCell="E25" sqref="E25"/>
    </sheetView>
  </sheetViews>
  <sheetFormatPr defaultRowHeight="15" x14ac:dyDescent="0.25"/>
  <sheetData>
    <row r="2" spans="2:2" x14ac:dyDescent="0.25">
      <c r="B2" s="157" t="s">
        <v>145</v>
      </c>
    </row>
    <row r="4" spans="2:2" x14ac:dyDescent="0.25">
      <c r="B4" s="157" t="s">
        <v>140</v>
      </c>
    </row>
    <row r="5" spans="2:2" x14ac:dyDescent="0.25">
      <c r="B5" s="158" t="s">
        <v>154</v>
      </c>
    </row>
    <row r="6" spans="2:2" x14ac:dyDescent="0.25">
      <c r="B6" s="158" t="s">
        <v>151</v>
      </c>
    </row>
    <row r="7" spans="2:2" x14ac:dyDescent="0.25">
      <c r="B7" s="158" t="s">
        <v>152</v>
      </c>
    </row>
    <row r="8" spans="2:2" x14ac:dyDescent="0.25">
      <c r="B8" s="158" t="s">
        <v>153</v>
      </c>
    </row>
    <row r="9" spans="2:2" x14ac:dyDescent="0.25">
      <c r="B9" s="158" t="s">
        <v>157</v>
      </c>
    </row>
    <row r="11" spans="2:2" x14ac:dyDescent="0.25">
      <c r="B11" s="157" t="s">
        <v>141</v>
      </c>
    </row>
    <row r="12" spans="2:2" x14ac:dyDescent="0.25">
      <c r="B12" s="158" t="s">
        <v>155</v>
      </c>
    </row>
    <row r="13" spans="2:2" x14ac:dyDescent="0.25">
      <c r="B13" s="158" t="s">
        <v>146</v>
      </c>
    </row>
    <row r="14" spans="2:2" x14ac:dyDescent="0.25">
      <c r="B14" s="158" t="s">
        <v>147</v>
      </c>
    </row>
    <row r="15" spans="2:2" x14ac:dyDescent="0.25">
      <c r="B15" s="158" t="s">
        <v>142</v>
      </c>
    </row>
    <row r="16" spans="2:2" x14ac:dyDescent="0.25">
      <c r="B16" s="158" t="s">
        <v>159</v>
      </c>
    </row>
    <row r="17" spans="2:2" x14ac:dyDescent="0.25">
      <c r="B17" s="158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50% Exceedance Baseline</vt:lpstr>
      <vt:lpstr>1. Large Columbia Exchange</vt:lpstr>
      <vt:lpstr>2a. Reservoir (26.6k AS)</vt:lpstr>
      <vt:lpstr>2b. Reservoir (28.6k AS)</vt:lpstr>
      <vt:lpstr>2c. Reservoir (30k AS)</vt:lpstr>
      <vt:lpstr>2d. Reservoir (32k AS)</vt:lpstr>
      <vt:lpstr>2e. Reservoir (39.3k AS)</vt:lpstr>
      <vt:lpstr>Operational Rules</vt:lpstr>
    </vt:vector>
  </TitlesOfParts>
  <Company>Confederated Tribes of the Umatilla Indian Reservati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Zimmerman</dc:creator>
  <cp:lastModifiedBy>Steven Patten</cp:lastModifiedBy>
  <cp:lastPrinted>2017-06-14T21:22:54Z</cp:lastPrinted>
  <dcterms:created xsi:type="dcterms:W3CDTF">2016-12-13T18:59:58Z</dcterms:created>
  <dcterms:modified xsi:type="dcterms:W3CDTF">2017-07-27T17:00:11Z</dcterms:modified>
</cp:coreProperties>
</file>